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PÚBLICA\Ejecución Presupuestaria\"/>
    </mc:Choice>
  </mc:AlternateContent>
  <bookViews>
    <workbookView xWindow="0" yWindow="0" windowWidth="15600" windowHeight="7605" tabRatio="857" activeTab="11"/>
  </bookViews>
  <sheets>
    <sheet name="ENERO" sheetId="54" r:id="rId1"/>
    <sheet name="FEBRERO" sheetId="55" r:id="rId2"/>
    <sheet name="MARZO" sheetId="56" r:id="rId3"/>
    <sheet name="ABRIL" sheetId="57" r:id="rId4"/>
    <sheet name="MAYO" sheetId="58" r:id="rId5"/>
    <sheet name="JUNIO" sheetId="59" r:id="rId6"/>
    <sheet name="JULIO" sheetId="60" r:id="rId7"/>
    <sheet name="AGOSTO" sheetId="61" r:id="rId8"/>
    <sheet name="SEPTIEMBRE" sheetId="62" r:id="rId9"/>
    <sheet name="OCTUBRE" sheetId="63" r:id="rId10"/>
    <sheet name="NOVIEMBRE" sheetId="64" r:id="rId11"/>
    <sheet name="DICIEMBRE" sheetId="65" r:id="rId12"/>
  </sheets>
  <definedNames>
    <definedName name="_xlnm.Print_Area" localSheetId="3">ABRIL!$A$1:$L$141</definedName>
    <definedName name="_xlnm.Print_Area" localSheetId="7">AGOSTO!$A$1:$L$146</definedName>
    <definedName name="_xlnm.Print_Area" localSheetId="11">DICIEMBRE!$A$1:$N$145</definedName>
    <definedName name="_xlnm.Print_Area" localSheetId="0">ENERO!$A$1:$L$141</definedName>
    <definedName name="_xlnm.Print_Area" localSheetId="1">FEBRERO!$A$1:$L$141</definedName>
    <definedName name="_xlnm.Print_Area" localSheetId="6">JULIO!$A$1:$L$141</definedName>
    <definedName name="_xlnm.Print_Area" localSheetId="5">JUNIO!$A$1:$L$141</definedName>
    <definedName name="_xlnm.Print_Area" localSheetId="2">MARZO!$A$1:$L$141</definedName>
    <definedName name="_xlnm.Print_Area" localSheetId="4">MAYO!$A$1:$L$141</definedName>
    <definedName name="_xlnm.Print_Area" localSheetId="10">NOVIEMBRE!$A$1:$N$145</definedName>
    <definedName name="_xlnm.Print_Area" localSheetId="9">OCTUBRE!$A$1:$L$146</definedName>
    <definedName name="_xlnm.Print_Area" localSheetId="8">SEPTIEMBRE!$A$1:$L$146</definedName>
    <definedName name="_xlnm.Print_Titles" localSheetId="3">ABRIL!$6:$7</definedName>
    <definedName name="_xlnm.Print_Titles" localSheetId="7">AGOSTO!$6:$7</definedName>
    <definedName name="_xlnm.Print_Titles" localSheetId="11">DICIEMBRE!$6:$7</definedName>
    <definedName name="_xlnm.Print_Titles" localSheetId="0">ENERO!$6:$7</definedName>
    <definedName name="_xlnm.Print_Titles" localSheetId="1">FEBRERO!$6:$7</definedName>
    <definedName name="_xlnm.Print_Titles" localSheetId="6">JULIO!$6:$7</definedName>
    <definedName name="_xlnm.Print_Titles" localSheetId="5">JUNIO!$6:$7</definedName>
    <definedName name="_xlnm.Print_Titles" localSheetId="2">MARZO!$6:$7</definedName>
    <definedName name="_xlnm.Print_Titles" localSheetId="4">MAYO!$6:$7</definedName>
    <definedName name="_xlnm.Print_Titles" localSheetId="10">NOVIEMBRE!$6:$7</definedName>
    <definedName name="_xlnm.Print_Titles" localSheetId="9">OCTUBRE!$6:$7</definedName>
    <definedName name="_xlnm.Print_Titles" localSheetId="8">SEPTIEMBRE!$6:$7</definedName>
  </definedNames>
  <calcPr calcId="152511"/>
</workbook>
</file>

<file path=xl/calcChain.xml><?xml version="1.0" encoding="utf-8"?>
<calcChain xmlns="http://schemas.openxmlformats.org/spreadsheetml/2006/main">
  <c r="M15" i="65" l="1"/>
  <c r="M13" i="65"/>
  <c r="M13" i="64"/>
  <c r="M12" i="65"/>
  <c r="M11" i="65"/>
  <c r="M15" i="64"/>
  <c r="K13" i="63"/>
  <c r="K13" i="62"/>
  <c r="M18" i="65"/>
  <c r="C123" i="65"/>
  <c r="M114" i="65"/>
  <c r="C124" i="65"/>
  <c r="C125" i="65"/>
  <c r="C131" i="65"/>
  <c r="C134" i="65"/>
  <c r="O114" i="65"/>
  <c r="L22" i="65"/>
  <c r="N22" i="65"/>
  <c r="L23" i="65"/>
  <c r="N23" i="65"/>
  <c r="L24" i="65"/>
  <c r="N24" i="65"/>
  <c r="L25" i="65"/>
  <c r="N25" i="65"/>
  <c r="L26" i="65"/>
  <c r="N26" i="65"/>
  <c r="L27" i="65"/>
  <c r="N27" i="65"/>
  <c r="L28" i="65"/>
  <c r="N28" i="65"/>
  <c r="L29" i="65"/>
  <c r="N29" i="65"/>
  <c r="L30" i="65"/>
  <c r="N30" i="65"/>
  <c r="L31" i="65"/>
  <c r="N31" i="65"/>
  <c r="L32" i="65"/>
  <c r="N32" i="65"/>
  <c r="L33" i="65"/>
  <c r="N33" i="65"/>
  <c r="L36" i="65"/>
  <c r="N36" i="65"/>
  <c r="L37" i="65"/>
  <c r="N37" i="65"/>
  <c r="L38" i="65"/>
  <c r="N38" i="65"/>
  <c r="L39" i="65"/>
  <c r="N39" i="65"/>
  <c r="L40" i="65"/>
  <c r="N40" i="65"/>
  <c r="L41" i="65"/>
  <c r="N41" i="65"/>
  <c r="L42" i="65"/>
  <c r="N42" i="65"/>
  <c r="L43" i="65"/>
  <c r="N43" i="65"/>
  <c r="L44" i="65"/>
  <c r="N44" i="65"/>
  <c r="L45" i="65"/>
  <c r="N45" i="65"/>
  <c r="L46" i="65"/>
  <c r="N46" i="65"/>
  <c r="L47" i="65"/>
  <c r="N47" i="65"/>
  <c r="L48" i="65"/>
  <c r="N48" i="65"/>
  <c r="L49" i="65"/>
  <c r="N49" i="65"/>
  <c r="L50" i="65"/>
  <c r="N50" i="65"/>
  <c r="L51" i="65"/>
  <c r="N51" i="65"/>
  <c r="L52" i="65"/>
  <c r="N52" i="65"/>
  <c r="L53" i="65"/>
  <c r="N53" i="65"/>
  <c r="L54" i="65"/>
  <c r="N54" i="65"/>
  <c r="L55" i="65"/>
  <c r="N55" i="65"/>
  <c r="L56" i="65"/>
  <c r="N56" i="65"/>
  <c r="L57" i="65"/>
  <c r="N57" i="65"/>
  <c r="L58" i="65"/>
  <c r="N58" i="65"/>
  <c r="L59" i="65"/>
  <c r="N59" i="65"/>
  <c r="L60" i="65"/>
  <c r="N60" i="65"/>
  <c r="L61" i="65"/>
  <c r="N61" i="65"/>
  <c r="L62" i="65"/>
  <c r="N62" i="65"/>
  <c r="L63" i="65"/>
  <c r="N63" i="65"/>
  <c r="L64" i="65"/>
  <c r="N64" i="65"/>
  <c r="L65" i="65"/>
  <c r="N65" i="65"/>
  <c r="L66" i="65"/>
  <c r="N66" i="65"/>
  <c r="L67" i="65"/>
  <c r="N67" i="65"/>
  <c r="L68" i="65"/>
  <c r="N68" i="65"/>
  <c r="L69" i="65"/>
  <c r="N69" i="65"/>
  <c r="L72" i="65"/>
  <c r="N72" i="65"/>
  <c r="L73" i="65"/>
  <c r="N73" i="65"/>
  <c r="L74" i="65"/>
  <c r="N74" i="65"/>
  <c r="L75" i="65"/>
  <c r="N75" i="65"/>
  <c r="L76" i="65"/>
  <c r="N76" i="65"/>
  <c r="L77" i="65"/>
  <c r="N77" i="65"/>
  <c r="L78" i="65"/>
  <c r="N78" i="65"/>
  <c r="L79" i="65"/>
  <c r="N79" i="65"/>
  <c r="L80" i="65"/>
  <c r="N80" i="65"/>
  <c r="L81" i="65"/>
  <c r="N81" i="65"/>
  <c r="L82" i="65"/>
  <c r="N82" i="65"/>
  <c r="L83" i="65"/>
  <c r="N83" i="65"/>
  <c r="L84" i="65"/>
  <c r="N84" i="65"/>
  <c r="L85" i="65"/>
  <c r="N85" i="65"/>
  <c r="L86" i="65"/>
  <c r="N86" i="65"/>
  <c r="L87" i="65"/>
  <c r="N87" i="65"/>
  <c r="L88" i="65"/>
  <c r="N88" i="65"/>
  <c r="L89" i="65"/>
  <c r="N89" i="65"/>
  <c r="L90" i="65"/>
  <c r="N90" i="65"/>
  <c r="L91" i="65"/>
  <c r="N91" i="65"/>
  <c r="L92" i="65"/>
  <c r="N92" i="65"/>
  <c r="L93" i="65"/>
  <c r="N93" i="65"/>
  <c r="L94" i="65"/>
  <c r="N94" i="65"/>
  <c r="L95" i="65"/>
  <c r="N95" i="65"/>
  <c r="L96" i="65"/>
  <c r="N96" i="65"/>
  <c r="L97" i="65"/>
  <c r="N97" i="65"/>
  <c r="L98" i="65"/>
  <c r="N98" i="65"/>
  <c r="L101" i="65"/>
  <c r="N101" i="65"/>
  <c r="L102" i="65"/>
  <c r="N102" i="65"/>
  <c r="L103" i="65"/>
  <c r="N103" i="65"/>
  <c r="L104" i="65"/>
  <c r="N104" i="65"/>
  <c r="L105" i="65"/>
  <c r="N105" i="65"/>
  <c r="L106" i="65"/>
  <c r="N106" i="65"/>
  <c r="L108" i="65"/>
  <c r="N108" i="65"/>
  <c r="L109" i="65"/>
  <c r="N109" i="65"/>
  <c r="L110" i="65"/>
  <c r="N110" i="65"/>
  <c r="L111" i="65"/>
  <c r="N111" i="65"/>
  <c r="L112" i="65"/>
  <c r="N112" i="65"/>
  <c r="N114" i="65"/>
  <c r="L114" i="65"/>
  <c r="K114" i="65"/>
  <c r="J114" i="65"/>
  <c r="I114" i="65"/>
  <c r="H114" i="65"/>
  <c r="G114" i="65"/>
  <c r="F114" i="65"/>
  <c r="E114" i="65"/>
  <c r="D114" i="65"/>
  <c r="C114" i="65"/>
  <c r="O112" i="65"/>
  <c r="O111" i="65"/>
  <c r="O110" i="65"/>
  <c r="O109" i="65"/>
  <c r="O108" i="65"/>
  <c r="O106" i="65"/>
  <c r="O105" i="65"/>
  <c r="O104" i="65"/>
  <c r="O103" i="65"/>
  <c r="O102" i="65"/>
  <c r="O101" i="65"/>
  <c r="O98" i="65"/>
  <c r="O97" i="65"/>
  <c r="O96" i="65"/>
  <c r="O95" i="65"/>
  <c r="O94" i="65"/>
  <c r="O93" i="65"/>
  <c r="O92" i="65"/>
  <c r="O91" i="65"/>
  <c r="O90" i="65"/>
  <c r="O89" i="65"/>
  <c r="O88" i="65"/>
  <c r="O87" i="65"/>
  <c r="O86" i="65"/>
  <c r="O85" i="65"/>
  <c r="O84" i="65"/>
  <c r="O83" i="65"/>
  <c r="O82" i="65"/>
  <c r="O81" i="65"/>
  <c r="O80" i="65"/>
  <c r="O79" i="65"/>
  <c r="O78" i="65"/>
  <c r="O77" i="65"/>
  <c r="O76" i="65"/>
  <c r="O75" i="65"/>
  <c r="O74" i="65"/>
  <c r="O73" i="65"/>
  <c r="O72" i="65"/>
  <c r="O69" i="65"/>
  <c r="O68" i="65"/>
  <c r="O67" i="65"/>
  <c r="O66" i="65"/>
  <c r="O65" i="65"/>
  <c r="O64" i="65"/>
  <c r="O63" i="65"/>
  <c r="O62" i="65"/>
  <c r="O61" i="65"/>
  <c r="O60" i="65"/>
  <c r="O59" i="65"/>
  <c r="O58" i="65"/>
  <c r="O57" i="65"/>
  <c r="O56" i="65"/>
  <c r="O55" i="65"/>
  <c r="O54" i="65"/>
  <c r="O53" i="65"/>
  <c r="O52" i="65"/>
  <c r="O51" i="65"/>
  <c r="O50" i="65"/>
  <c r="O49" i="65"/>
  <c r="O48" i="65"/>
  <c r="O47" i="65"/>
  <c r="O46" i="65"/>
  <c r="O45" i="65"/>
  <c r="O44" i="65"/>
  <c r="O43" i="65"/>
  <c r="O42" i="65"/>
  <c r="O41" i="65"/>
  <c r="O40" i="65"/>
  <c r="O39" i="65"/>
  <c r="O38" i="65"/>
  <c r="O37" i="65"/>
  <c r="O36" i="65"/>
  <c r="O33" i="65"/>
  <c r="O32" i="65"/>
  <c r="O31" i="65"/>
  <c r="O30" i="65"/>
  <c r="O29" i="65"/>
  <c r="O28" i="65"/>
  <c r="O27" i="65"/>
  <c r="O26" i="65"/>
  <c r="O25" i="65"/>
  <c r="O24" i="65"/>
  <c r="O23" i="65"/>
  <c r="O22" i="65"/>
  <c r="O17" i="65"/>
  <c r="O18" i="65"/>
  <c r="L10" i="65"/>
  <c r="N10" i="65"/>
  <c r="C11" i="65"/>
  <c r="L11" i="65"/>
  <c r="N11" i="65"/>
  <c r="L12" i="65"/>
  <c r="N12" i="65"/>
  <c r="C13" i="65"/>
  <c r="L13" i="65"/>
  <c r="N13" i="65"/>
  <c r="L14" i="65"/>
  <c r="N14" i="65"/>
  <c r="L15" i="65"/>
  <c r="N15" i="65"/>
  <c r="L16" i="65"/>
  <c r="N16" i="65"/>
  <c r="N17" i="65"/>
  <c r="N18" i="65"/>
  <c r="L17" i="65"/>
  <c r="L18" i="65"/>
  <c r="K18" i="65"/>
  <c r="I18" i="65"/>
  <c r="G18" i="65"/>
  <c r="F18" i="65"/>
  <c r="E18" i="65"/>
  <c r="D18" i="65"/>
  <c r="C18" i="65"/>
  <c r="O14" i="65"/>
  <c r="O13" i="65"/>
  <c r="O12" i="65"/>
  <c r="O11" i="65"/>
  <c r="O10" i="65"/>
  <c r="L112" i="64"/>
  <c r="L111" i="64"/>
  <c r="L110" i="64"/>
  <c r="L109" i="64"/>
  <c r="L108" i="64"/>
  <c r="L106" i="64"/>
  <c r="L105" i="64"/>
  <c r="L104" i="64"/>
  <c r="L103" i="64"/>
  <c r="L102" i="64"/>
  <c r="L101" i="64"/>
  <c r="L98" i="64"/>
  <c r="L97" i="64"/>
  <c r="L96" i="64"/>
  <c r="L95" i="64"/>
  <c r="L94" i="64"/>
  <c r="L93" i="64"/>
  <c r="L92" i="64"/>
  <c r="L91" i="64"/>
  <c r="L90" i="64"/>
  <c r="L89" i="64"/>
  <c r="L88" i="64"/>
  <c r="L87" i="64"/>
  <c r="L86" i="64"/>
  <c r="L85" i="64"/>
  <c r="L84" i="64"/>
  <c r="L83" i="64"/>
  <c r="L82" i="64"/>
  <c r="L81" i="64"/>
  <c r="L80" i="64"/>
  <c r="L79" i="64"/>
  <c r="L78" i="64"/>
  <c r="L77" i="64"/>
  <c r="L76" i="64"/>
  <c r="L75" i="64"/>
  <c r="L74" i="64"/>
  <c r="L73" i="64"/>
  <c r="L72" i="64"/>
  <c r="L69" i="64"/>
  <c r="L68" i="64"/>
  <c r="L67" i="64"/>
  <c r="L66" i="64"/>
  <c r="L65" i="64"/>
  <c r="L64" i="64"/>
  <c r="L63" i="64"/>
  <c r="L62" i="64"/>
  <c r="L61" i="64"/>
  <c r="L60" i="64"/>
  <c r="L59" i="64"/>
  <c r="L58" i="64"/>
  <c r="L57" i="64"/>
  <c r="L56" i="64"/>
  <c r="L55" i="64"/>
  <c r="L54" i="64"/>
  <c r="L53" i="64"/>
  <c r="L52" i="64"/>
  <c r="L51" i="64"/>
  <c r="L50" i="64"/>
  <c r="L49" i="64"/>
  <c r="L48" i="64"/>
  <c r="L47" i="64"/>
  <c r="L46" i="64"/>
  <c r="L45" i="64"/>
  <c r="L44" i="64"/>
  <c r="L43" i="64"/>
  <c r="L42" i="64"/>
  <c r="L41" i="64"/>
  <c r="L40" i="64"/>
  <c r="L39" i="64"/>
  <c r="L38" i="64"/>
  <c r="L37" i="64"/>
  <c r="L36" i="64"/>
  <c r="L33" i="64"/>
  <c r="L32" i="64"/>
  <c r="L31" i="64"/>
  <c r="L30" i="64"/>
  <c r="L29" i="64"/>
  <c r="L28" i="64"/>
  <c r="L27" i="64"/>
  <c r="L26" i="64"/>
  <c r="L25" i="64"/>
  <c r="L24" i="64"/>
  <c r="L23" i="64"/>
  <c r="L22" i="64"/>
  <c r="I114" i="64"/>
  <c r="H114" i="64"/>
  <c r="I18" i="64"/>
  <c r="M114" i="64"/>
  <c r="O87" i="64"/>
  <c r="N87" i="64"/>
  <c r="M12" i="64"/>
  <c r="M11" i="64"/>
  <c r="M18" i="64"/>
  <c r="C123" i="64"/>
  <c r="C124" i="64"/>
  <c r="C125" i="64"/>
  <c r="C131" i="64"/>
  <c r="C134" i="64"/>
  <c r="O114" i="64"/>
  <c r="N22" i="64"/>
  <c r="N23" i="64"/>
  <c r="N24" i="64"/>
  <c r="N25" i="64"/>
  <c r="N26" i="64"/>
  <c r="N27" i="64"/>
  <c r="N28" i="64"/>
  <c r="N29" i="64"/>
  <c r="N30" i="64"/>
  <c r="N31" i="64"/>
  <c r="N32" i="64"/>
  <c r="N33" i="64"/>
  <c r="N36" i="64"/>
  <c r="N37" i="64"/>
  <c r="N38" i="64"/>
  <c r="N39" i="64"/>
  <c r="N40" i="64"/>
  <c r="N41" i="64"/>
  <c r="N42" i="64"/>
  <c r="N43" i="64"/>
  <c r="N44" i="64"/>
  <c r="N45" i="64"/>
  <c r="N46" i="64"/>
  <c r="N47" i="64"/>
  <c r="N48" i="64"/>
  <c r="N49" i="64"/>
  <c r="N50" i="64"/>
  <c r="N51" i="64"/>
  <c r="N52" i="64"/>
  <c r="N53" i="64"/>
  <c r="N54" i="64"/>
  <c r="N55" i="64"/>
  <c r="N56" i="64"/>
  <c r="N57" i="64"/>
  <c r="N58" i="64"/>
  <c r="N59" i="64"/>
  <c r="N60" i="64"/>
  <c r="N61" i="64"/>
  <c r="N62" i="64"/>
  <c r="N63" i="64"/>
  <c r="N64" i="64"/>
  <c r="N65" i="64"/>
  <c r="N66" i="64"/>
  <c r="N67" i="64"/>
  <c r="N68" i="64"/>
  <c r="N69" i="64"/>
  <c r="N72" i="64"/>
  <c r="N73" i="64"/>
  <c r="N74" i="64"/>
  <c r="N75" i="64"/>
  <c r="N76" i="64"/>
  <c r="N77" i="64"/>
  <c r="N78" i="64"/>
  <c r="N79" i="64"/>
  <c r="N80" i="64"/>
  <c r="N81" i="64"/>
  <c r="N82" i="64"/>
  <c r="N83" i="64"/>
  <c r="N84" i="64"/>
  <c r="N85" i="64"/>
  <c r="N86" i="64"/>
  <c r="N88" i="64"/>
  <c r="N89" i="64"/>
  <c r="N90" i="64"/>
  <c r="N91" i="64"/>
  <c r="N92" i="64"/>
  <c r="N93" i="64"/>
  <c r="N94" i="64"/>
  <c r="N95" i="64"/>
  <c r="N96" i="64"/>
  <c r="N97" i="64"/>
  <c r="N98" i="64"/>
  <c r="N101" i="64"/>
  <c r="N102" i="64"/>
  <c r="N103" i="64"/>
  <c r="N104" i="64"/>
  <c r="N105" i="64"/>
  <c r="N106" i="64"/>
  <c r="N108" i="64"/>
  <c r="N109" i="64"/>
  <c r="N110" i="64"/>
  <c r="N111" i="64"/>
  <c r="N112" i="64"/>
  <c r="N114" i="64"/>
  <c r="L114" i="64"/>
  <c r="K114" i="64"/>
  <c r="J114" i="64"/>
  <c r="G114" i="64"/>
  <c r="F114" i="64"/>
  <c r="E114" i="64"/>
  <c r="D114" i="64"/>
  <c r="C114" i="64"/>
  <c r="O112" i="64"/>
  <c r="O111" i="64"/>
  <c r="O110" i="64"/>
  <c r="O109" i="64"/>
  <c r="O108" i="64"/>
  <c r="O106" i="64"/>
  <c r="O105" i="64"/>
  <c r="O104" i="64"/>
  <c r="O103" i="64"/>
  <c r="O102" i="64"/>
  <c r="O101" i="64"/>
  <c r="O98" i="64"/>
  <c r="O97" i="64"/>
  <c r="O96" i="64"/>
  <c r="O95" i="64"/>
  <c r="O94" i="64"/>
  <c r="O93" i="64"/>
  <c r="O92" i="64"/>
  <c r="O91" i="64"/>
  <c r="O90" i="64"/>
  <c r="O89" i="64"/>
  <c r="O88" i="64"/>
  <c r="O86" i="64"/>
  <c r="O85" i="64"/>
  <c r="O84" i="64"/>
  <c r="O83" i="64"/>
  <c r="O82" i="64"/>
  <c r="O81" i="64"/>
  <c r="O80" i="64"/>
  <c r="O79" i="64"/>
  <c r="O78" i="64"/>
  <c r="O77" i="64"/>
  <c r="O76" i="64"/>
  <c r="O75" i="64"/>
  <c r="O74" i="64"/>
  <c r="O73" i="64"/>
  <c r="O72" i="64"/>
  <c r="O69" i="64"/>
  <c r="O68" i="64"/>
  <c r="O67" i="64"/>
  <c r="O66" i="64"/>
  <c r="O65" i="64"/>
  <c r="O64" i="64"/>
  <c r="O63" i="64"/>
  <c r="O62" i="64"/>
  <c r="O61" i="64"/>
  <c r="O60" i="64"/>
  <c r="O59" i="64"/>
  <c r="O58" i="64"/>
  <c r="O57" i="64"/>
  <c r="O56" i="64"/>
  <c r="O55" i="64"/>
  <c r="O54" i="64"/>
  <c r="O53" i="64"/>
  <c r="O52" i="64"/>
  <c r="O51" i="64"/>
  <c r="O50" i="64"/>
  <c r="O49" i="64"/>
  <c r="O48" i="64"/>
  <c r="O47" i="64"/>
  <c r="O46" i="64"/>
  <c r="O45" i="64"/>
  <c r="O44" i="64"/>
  <c r="O43" i="64"/>
  <c r="O42" i="64"/>
  <c r="O41" i="64"/>
  <c r="O40" i="64"/>
  <c r="O39" i="64"/>
  <c r="O38" i="64"/>
  <c r="O37" i="64"/>
  <c r="O36" i="64"/>
  <c r="O33" i="64"/>
  <c r="O32" i="64"/>
  <c r="O31" i="64"/>
  <c r="O30" i="64"/>
  <c r="O29" i="64"/>
  <c r="O28" i="64"/>
  <c r="O27" i="64"/>
  <c r="O26" i="64"/>
  <c r="O25" i="64"/>
  <c r="O24" i="64"/>
  <c r="O23" i="64"/>
  <c r="O22" i="64"/>
  <c r="O17" i="64"/>
  <c r="O18" i="64"/>
  <c r="L10" i="64"/>
  <c r="N10" i="64"/>
  <c r="C11" i="64"/>
  <c r="L11" i="64"/>
  <c r="N11" i="64"/>
  <c r="L12" i="64"/>
  <c r="N12" i="64"/>
  <c r="C13" i="64"/>
  <c r="L13" i="64"/>
  <c r="N13" i="64"/>
  <c r="L14" i="64"/>
  <c r="N14" i="64"/>
  <c r="L15" i="64"/>
  <c r="N15" i="64"/>
  <c r="L16" i="64"/>
  <c r="N16" i="64"/>
  <c r="N17" i="64"/>
  <c r="N18" i="64"/>
  <c r="L17" i="64"/>
  <c r="L18" i="64"/>
  <c r="K18" i="64"/>
  <c r="G18" i="64"/>
  <c r="F18" i="64"/>
  <c r="E18" i="64"/>
  <c r="D18" i="64"/>
  <c r="C18" i="64"/>
  <c r="O14" i="64"/>
  <c r="O13" i="64"/>
  <c r="O12" i="64"/>
  <c r="O11" i="64"/>
  <c r="O10" i="64"/>
  <c r="J93" i="63"/>
  <c r="K12" i="63"/>
  <c r="K11" i="63"/>
  <c r="K15" i="63"/>
  <c r="K18" i="63"/>
  <c r="C123" i="63"/>
  <c r="K114" i="63"/>
  <c r="C124" i="63"/>
  <c r="C125" i="63"/>
  <c r="C131" i="63"/>
  <c r="C134" i="63"/>
  <c r="M114" i="63"/>
  <c r="J22" i="63"/>
  <c r="L22" i="63"/>
  <c r="J23" i="63"/>
  <c r="L23" i="63"/>
  <c r="J24" i="63"/>
  <c r="L24" i="63"/>
  <c r="J25" i="63"/>
  <c r="L25" i="63"/>
  <c r="J26" i="63"/>
  <c r="L26" i="63"/>
  <c r="J27" i="63"/>
  <c r="L27" i="63"/>
  <c r="J28" i="63"/>
  <c r="L28" i="63"/>
  <c r="J29" i="63"/>
  <c r="L29" i="63"/>
  <c r="J30" i="63"/>
  <c r="L30" i="63"/>
  <c r="J31" i="63"/>
  <c r="L31" i="63"/>
  <c r="J32" i="63"/>
  <c r="L32" i="63"/>
  <c r="J33" i="63"/>
  <c r="L33" i="63"/>
  <c r="J36" i="63"/>
  <c r="L36" i="63"/>
  <c r="J37" i="63"/>
  <c r="L37" i="63"/>
  <c r="J38" i="63"/>
  <c r="L38" i="63"/>
  <c r="J39" i="63"/>
  <c r="L39" i="63"/>
  <c r="J40" i="63"/>
  <c r="L40" i="63"/>
  <c r="J41" i="63"/>
  <c r="L41" i="63"/>
  <c r="J42" i="63"/>
  <c r="L42" i="63"/>
  <c r="J43" i="63"/>
  <c r="L43" i="63"/>
  <c r="J44" i="63"/>
  <c r="L44" i="63"/>
  <c r="J45" i="63"/>
  <c r="L45" i="63"/>
  <c r="J46" i="63"/>
  <c r="L46" i="63"/>
  <c r="J47" i="63"/>
  <c r="L47" i="63"/>
  <c r="J48" i="63"/>
  <c r="L48" i="63"/>
  <c r="J49" i="63"/>
  <c r="L49" i="63"/>
  <c r="J50" i="63"/>
  <c r="L50" i="63"/>
  <c r="J51" i="63"/>
  <c r="L51" i="63"/>
  <c r="J52" i="63"/>
  <c r="L52" i="63"/>
  <c r="J53" i="63"/>
  <c r="L53" i="63"/>
  <c r="J54" i="63"/>
  <c r="L54" i="63"/>
  <c r="J55" i="63"/>
  <c r="L55" i="63"/>
  <c r="J56" i="63"/>
  <c r="L56" i="63"/>
  <c r="J57" i="63"/>
  <c r="L57" i="63"/>
  <c r="J58" i="63"/>
  <c r="L58" i="63"/>
  <c r="J59" i="63"/>
  <c r="L59" i="63"/>
  <c r="J60" i="63"/>
  <c r="L60" i="63"/>
  <c r="J61" i="63"/>
  <c r="L61" i="63"/>
  <c r="J62" i="63"/>
  <c r="L62" i="63"/>
  <c r="J63" i="63"/>
  <c r="L63" i="63"/>
  <c r="J64" i="63"/>
  <c r="L64" i="63"/>
  <c r="J65" i="63"/>
  <c r="L65" i="63"/>
  <c r="J66" i="63"/>
  <c r="L66" i="63"/>
  <c r="J67" i="63"/>
  <c r="L67" i="63"/>
  <c r="J68" i="63"/>
  <c r="L68" i="63"/>
  <c r="J69" i="63"/>
  <c r="L69" i="63"/>
  <c r="J72" i="63"/>
  <c r="L72" i="63"/>
  <c r="J73" i="63"/>
  <c r="L73" i="63"/>
  <c r="J74" i="63"/>
  <c r="L74" i="63"/>
  <c r="J75" i="63"/>
  <c r="L75" i="63"/>
  <c r="J76" i="63"/>
  <c r="L76" i="63"/>
  <c r="J77" i="63"/>
  <c r="L77" i="63"/>
  <c r="J78" i="63"/>
  <c r="L78" i="63"/>
  <c r="J79" i="63"/>
  <c r="L79" i="63"/>
  <c r="J80" i="63"/>
  <c r="L80" i="63"/>
  <c r="J81" i="63"/>
  <c r="L81" i="63"/>
  <c r="J82" i="63"/>
  <c r="L82" i="63"/>
  <c r="J83" i="63"/>
  <c r="L83" i="63"/>
  <c r="J84" i="63"/>
  <c r="L84" i="63"/>
  <c r="J85" i="63"/>
  <c r="L85" i="63"/>
  <c r="J86" i="63"/>
  <c r="L86" i="63"/>
  <c r="J87" i="63"/>
  <c r="L87" i="63"/>
  <c r="J88" i="63"/>
  <c r="L88" i="63"/>
  <c r="J89" i="63"/>
  <c r="L89" i="63"/>
  <c r="J90" i="63"/>
  <c r="L90" i="63"/>
  <c r="J91" i="63"/>
  <c r="L91" i="63"/>
  <c r="J92" i="63"/>
  <c r="L92" i="63"/>
  <c r="L93" i="63"/>
  <c r="J94" i="63"/>
  <c r="L94" i="63"/>
  <c r="J95" i="63"/>
  <c r="L95" i="63"/>
  <c r="J96" i="63"/>
  <c r="L96" i="63"/>
  <c r="J97" i="63"/>
  <c r="L97" i="63"/>
  <c r="J100" i="63"/>
  <c r="L100" i="63"/>
  <c r="J101" i="63"/>
  <c r="L101" i="63"/>
  <c r="J102" i="63"/>
  <c r="L102" i="63"/>
  <c r="J103" i="63"/>
  <c r="L103" i="63"/>
  <c r="J104" i="63"/>
  <c r="L104" i="63"/>
  <c r="J105" i="63"/>
  <c r="L105" i="63"/>
  <c r="J108" i="63"/>
  <c r="L108" i="63"/>
  <c r="J109" i="63"/>
  <c r="L109" i="63"/>
  <c r="J110" i="63"/>
  <c r="L110" i="63"/>
  <c r="J111" i="63"/>
  <c r="L111" i="63"/>
  <c r="J112" i="63"/>
  <c r="L112" i="63"/>
  <c r="L114" i="63"/>
  <c r="J114" i="63"/>
  <c r="I114" i="63"/>
  <c r="H114" i="63"/>
  <c r="G114" i="63"/>
  <c r="F114" i="63"/>
  <c r="E114" i="63"/>
  <c r="D114" i="63"/>
  <c r="C114" i="63"/>
  <c r="M112" i="63"/>
  <c r="M111" i="63"/>
  <c r="M110" i="63"/>
  <c r="M109" i="63"/>
  <c r="M108" i="63"/>
  <c r="M105" i="63"/>
  <c r="M104" i="63"/>
  <c r="M103" i="63"/>
  <c r="M102" i="63"/>
  <c r="M101" i="63"/>
  <c r="M100" i="63"/>
  <c r="M97" i="63"/>
  <c r="M96" i="63"/>
  <c r="M95" i="63"/>
  <c r="M94" i="63"/>
  <c r="M93" i="63"/>
  <c r="M92" i="63"/>
  <c r="M91" i="63"/>
  <c r="M90" i="63"/>
  <c r="M89" i="63"/>
  <c r="M88" i="63"/>
  <c r="M87" i="63"/>
  <c r="M86" i="63"/>
  <c r="M85" i="63"/>
  <c r="M84" i="63"/>
  <c r="M83" i="63"/>
  <c r="M82" i="63"/>
  <c r="M81" i="63"/>
  <c r="M80" i="63"/>
  <c r="M79" i="63"/>
  <c r="M78" i="63"/>
  <c r="M77" i="63"/>
  <c r="M76" i="63"/>
  <c r="M75" i="63"/>
  <c r="M74" i="63"/>
  <c r="M73" i="63"/>
  <c r="M72" i="63"/>
  <c r="M69" i="63"/>
  <c r="M68" i="63"/>
  <c r="M67" i="63"/>
  <c r="M66" i="63"/>
  <c r="M65" i="63"/>
  <c r="M64" i="63"/>
  <c r="M63" i="63"/>
  <c r="M62" i="63"/>
  <c r="M61" i="63"/>
  <c r="M60" i="63"/>
  <c r="M59" i="63"/>
  <c r="M58" i="63"/>
  <c r="M57" i="63"/>
  <c r="M56" i="63"/>
  <c r="M55" i="63"/>
  <c r="M54" i="63"/>
  <c r="M53" i="63"/>
  <c r="M52" i="63"/>
  <c r="M51" i="63"/>
  <c r="M50" i="63"/>
  <c r="M49" i="63"/>
  <c r="M48" i="63"/>
  <c r="M47" i="63"/>
  <c r="M46" i="63"/>
  <c r="M45" i="63"/>
  <c r="M44" i="63"/>
  <c r="M43" i="63"/>
  <c r="M42" i="63"/>
  <c r="M41" i="63"/>
  <c r="M40" i="63"/>
  <c r="M39" i="63"/>
  <c r="M38" i="63"/>
  <c r="M37" i="63"/>
  <c r="M36" i="63"/>
  <c r="M33" i="63"/>
  <c r="M32" i="63"/>
  <c r="M31" i="63"/>
  <c r="M30" i="63"/>
  <c r="M29" i="63"/>
  <c r="M28" i="63"/>
  <c r="M27" i="63"/>
  <c r="M26" i="63"/>
  <c r="M25" i="63"/>
  <c r="M24" i="63"/>
  <c r="M23" i="63"/>
  <c r="M22" i="63"/>
  <c r="M17" i="63"/>
  <c r="M18" i="63"/>
  <c r="J10" i="63"/>
  <c r="L10" i="63"/>
  <c r="C11" i="63"/>
  <c r="J11" i="63"/>
  <c r="L11" i="63"/>
  <c r="J12" i="63"/>
  <c r="L12" i="63"/>
  <c r="C13" i="63"/>
  <c r="J13" i="63"/>
  <c r="L13" i="63"/>
  <c r="J14" i="63"/>
  <c r="L14" i="63"/>
  <c r="J15" i="63"/>
  <c r="L15" i="63"/>
  <c r="J16" i="63"/>
  <c r="L16" i="63"/>
  <c r="L17" i="63"/>
  <c r="L18" i="63"/>
  <c r="J17" i="63"/>
  <c r="J18" i="63"/>
  <c r="I18" i="63"/>
  <c r="G18" i="63"/>
  <c r="F18" i="63"/>
  <c r="E18" i="63"/>
  <c r="D18" i="63"/>
  <c r="C18" i="63"/>
  <c r="M14" i="63"/>
  <c r="M13" i="63"/>
  <c r="M12" i="63"/>
  <c r="M11" i="63"/>
  <c r="M10" i="63"/>
  <c r="C131" i="62"/>
  <c r="C134" i="62"/>
  <c r="K15" i="62"/>
  <c r="K12" i="62"/>
  <c r="K11" i="62"/>
  <c r="K18" i="62"/>
  <c r="C123" i="62"/>
  <c r="K114" i="62"/>
  <c r="C124" i="62"/>
  <c r="C125" i="62"/>
  <c r="M114" i="62"/>
  <c r="J22" i="62"/>
  <c r="L22" i="62"/>
  <c r="J23" i="62"/>
  <c r="L23" i="62"/>
  <c r="J24" i="62"/>
  <c r="L24" i="62"/>
  <c r="J25" i="62"/>
  <c r="L25" i="62"/>
  <c r="J26" i="62"/>
  <c r="L26" i="62"/>
  <c r="J27" i="62"/>
  <c r="L27" i="62"/>
  <c r="J28" i="62"/>
  <c r="L28" i="62"/>
  <c r="J29" i="62"/>
  <c r="L29" i="62"/>
  <c r="J30" i="62"/>
  <c r="L30" i="62"/>
  <c r="J31" i="62"/>
  <c r="L31" i="62"/>
  <c r="J32" i="62"/>
  <c r="L32" i="62"/>
  <c r="J33" i="62"/>
  <c r="L33" i="62"/>
  <c r="J36" i="62"/>
  <c r="L36" i="62"/>
  <c r="J37" i="62"/>
  <c r="L37" i="62"/>
  <c r="J38" i="62"/>
  <c r="L38" i="62"/>
  <c r="J39" i="62"/>
  <c r="L39" i="62"/>
  <c r="J40" i="62"/>
  <c r="L40" i="62"/>
  <c r="J41" i="62"/>
  <c r="L41" i="62"/>
  <c r="J42" i="62"/>
  <c r="L42" i="62"/>
  <c r="J43" i="62"/>
  <c r="L43" i="62"/>
  <c r="J44" i="62"/>
  <c r="L44" i="62"/>
  <c r="J45" i="62"/>
  <c r="L45" i="62"/>
  <c r="J46" i="62"/>
  <c r="L46" i="62"/>
  <c r="J47" i="62"/>
  <c r="L47" i="62"/>
  <c r="J48" i="62"/>
  <c r="L48" i="62"/>
  <c r="J49" i="62"/>
  <c r="L49" i="62"/>
  <c r="J50" i="62"/>
  <c r="L50" i="62"/>
  <c r="J51" i="62"/>
  <c r="L51" i="62"/>
  <c r="J52" i="62"/>
  <c r="L52" i="62"/>
  <c r="J53" i="62"/>
  <c r="L53" i="62"/>
  <c r="J54" i="62"/>
  <c r="L54" i="62"/>
  <c r="J55" i="62"/>
  <c r="L55" i="62"/>
  <c r="J56" i="62"/>
  <c r="L56" i="62"/>
  <c r="J57" i="62"/>
  <c r="L57" i="62"/>
  <c r="J58" i="62"/>
  <c r="L58" i="62"/>
  <c r="J59" i="62"/>
  <c r="L59" i="62"/>
  <c r="J60" i="62"/>
  <c r="L60" i="62"/>
  <c r="J61" i="62"/>
  <c r="L61" i="62"/>
  <c r="J62" i="62"/>
  <c r="L62" i="62"/>
  <c r="J63" i="62"/>
  <c r="L63" i="62"/>
  <c r="J64" i="62"/>
  <c r="L64" i="62"/>
  <c r="J65" i="62"/>
  <c r="L65" i="62"/>
  <c r="J66" i="62"/>
  <c r="L66" i="62"/>
  <c r="J67" i="62"/>
  <c r="L67" i="62"/>
  <c r="J68" i="62"/>
  <c r="L68" i="62"/>
  <c r="J69" i="62"/>
  <c r="L69" i="62"/>
  <c r="J72" i="62"/>
  <c r="L72" i="62"/>
  <c r="J73" i="62"/>
  <c r="L73" i="62"/>
  <c r="J74" i="62"/>
  <c r="L74" i="62"/>
  <c r="J75" i="62"/>
  <c r="L75" i="62"/>
  <c r="J76" i="62"/>
  <c r="L76" i="62"/>
  <c r="J77" i="62"/>
  <c r="L77" i="62"/>
  <c r="J78" i="62"/>
  <c r="L78" i="62"/>
  <c r="J79" i="62"/>
  <c r="L79" i="62"/>
  <c r="J80" i="62"/>
  <c r="L80" i="62"/>
  <c r="J81" i="62"/>
  <c r="L81" i="62"/>
  <c r="J82" i="62"/>
  <c r="L82" i="62"/>
  <c r="J83" i="62"/>
  <c r="L83" i="62"/>
  <c r="J84" i="62"/>
  <c r="L84" i="62"/>
  <c r="J85" i="62"/>
  <c r="L85" i="62"/>
  <c r="J86" i="62"/>
  <c r="L86" i="62"/>
  <c r="J87" i="62"/>
  <c r="L87" i="62"/>
  <c r="J88" i="62"/>
  <c r="L88" i="62"/>
  <c r="J89" i="62"/>
  <c r="L89" i="62"/>
  <c r="J90" i="62"/>
  <c r="L90" i="62"/>
  <c r="J91" i="62"/>
  <c r="L91" i="62"/>
  <c r="J92" i="62"/>
  <c r="L92" i="62"/>
  <c r="J93" i="62"/>
  <c r="L93" i="62"/>
  <c r="J94" i="62"/>
  <c r="L94" i="62"/>
  <c r="J95" i="62"/>
  <c r="L95" i="62"/>
  <c r="J96" i="62"/>
  <c r="L96" i="62"/>
  <c r="J97" i="62"/>
  <c r="L97" i="62"/>
  <c r="J100" i="62"/>
  <c r="L100" i="62"/>
  <c r="J101" i="62"/>
  <c r="L101" i="62"/>
  <c r="J102" i="62"/>
  <c r="L102" i="62"/>
  <c r="J103" i="62"/>
  <c r="L103" i="62"/>
  <c r="J104" i="62"/>
  <c r="L104" i="62"/>
  <c r="J105" i="62"/>
  <c r="L105" i="62"/>
  <c r="J108" i="62"/>
  <c r="L108" i="62"/>
  <c r="J109" i="62"/>
  <c r="L109" i="62"/>
  <c r="J110" i="62"/>
  <c r="L110" i="62"/>
  <c r="J111" i="62"/>
  <c r="L111" i="62"/>
  <c r="J112" i="62"/>
  <c r="L112" i="62"/>
  <c r="L114" i="62"/>
  <c r="J114" i="62"/>
  <c r="I114" i="62"/>
  <c r="H114" i="62"/>
  <c r="G114" i="62"/>
  <c r="F114" i="62"/>
  <c r="E114" i="62"/>
  <c r="D114" i="62"/>
  <c r="C114" i="62"/>
  <c r="M112" i="62"/>
  <c r="M111" i="62"/>
  <c r="M110" i="62"/>
  <c r="M109" i="62"/>
  <c r="M108" i="62"/>
  <c r="M105" i="62"/>
  <c r="M104" i="62"/>
  <c r="M103" i="62"/>
  <c r="M102" i="62"/>
  <c r="M101" i="62"/>
  <c r="M100" i="62"/>
  <c r="M97" i="62"/>
  <c r="M96" i="62"/>
  <c r="M95" i="62"/>
  <c r="M94" i="62"/>
  <c r="M93" i="62"/>
  <c r="M92" i="62"/>
  <c r="M91" i="62"/>
  <c r="M90" i="62"/>
  <c r="M89" i="62"/>
  <c r="M88" i="62"/>
  <c r="M87" i="62"/>
  <c r="M86" i="62"/>
  <c r="M85" i="62"/>
  <c r="M84" i="62"/>
  <c r="M83" i="62"/>
  <c r="M82" i="62"/>
  <c r="M81" i="62"/>
  <c r="M80" i="62"/>
  <c r="M79" i="62"/>
  <c r="M78" i="62"/>
  <c r="M77" i="62"/>
  <c r="M76" i="62"/>
  <c r="M75" i="62"/>
  <c r="M74" i="62"/>
  <c r="M73" i="62"/>
  <c r="M72" i="62"/>
  <c r="M69" i="62"/>
  <c r="M68" i="62"/>
  <c r="M67" i="62"/>
  <c r="M66" i="62"/>
  <c r="M65" i="62"/>
  <c r="M64" i="62"/>
  <c r="M63" i="62"/>
  <c r="M62" i="62"/>
  <c r="M61" i="62"/>
  <c r="M60" i="62"/>
  <c r="M59" i="62"/>
  <c r="M58" i="62"/>
  <c r="M57" i="62"/>
  <c r="M56" i="62"/>
  <c r="M55" i="62"/>
  <c r="M54" i="62"/>
  <c r="M53" i="62"/>
  <c r="M52" i="62"/>
  <c r="M51" i="62"/>
  <c r="M50" i="62"/>
  <c r="M49" i="62"/>
  <c r="M48" i="62"/>
  <c r="M47" i="62"/>
  <c r="M46" i="62"/>
  <c r="M45" i="62"/>
  <c r="M44" i="62"/>
  <c r="M43" i="62"/>
  <c r="M42" i="62"/>
  <c r="M41" i="62"/>
  <c r="M40" i="62"/>
  <c r="M39" i="62"/>
  <c r="M38" i="62"/>
  <c r="M37" i="62"/>
  <c r="M36" i="62"/>
  <c r="M33" i="62"/>
  <c r="M32" i="62"/>
  <c r="M31" i="62"/>
  <c r="M30" i="62"/>
  <c r="M29" i="62"/>
  <c r="M28" i="62"/>
  <c r="M27" i="62"/>
  <c r="M26" i="62"/>
  <c r="M25" i="62"/>
  <c r="M24" i="62"/>
  <c r="M23" i="62"/>
  <c r="M22" i="62"/>
  <c r="M17" i="62"/>
  <c r="M18" i="62"/>
  <c r="J10" i="62"/>
  <c r="L10" i="62"/>
  <c r="C11" i="62"/>
  <c r="J11" i="62"/>
  <c r="L11" i="62"/>
  <c r="J12" i="62"/>
  <c r="L12" i="62"/>
  <c r="C13" i="62"/>
  <c r="J13" i="62"/>
  <c r="L13" i="62"/>
  <c r="J14" i="62"/>
  <c r="L14" i="62"/>
  <c r="J15" i="62"/>
  <c r="L15" i="62"/>
  <c r="J16" i="62"/>
  <c r="L16" i="62"/>
  <c r="L17" i="62"/>
  <c r="L18" i="62"/>
  <c r="J17" i="62"/>
  <c r="J18" i="62"/>
  <c r="I18" i="62"/>
  <c r="G18" i="62"/>
  <c r="F18" i="62"/>
  <c r="E18" i="62"/>
  <c r="D18" i="62"/>
  <c r="C18" i="62"/>
  <c r="M14" i="62"/>
  <c r="M13" i="62"/>
  <c r="M12" i="62"/>
  <c r="M11" i="62"/>
  <c r="M10" i="62"/>
  <c r="C131" i="61"/>
  <c r="C134" i="61"/>
  <c r="K11" i="61"/>
  <c r="K12" i="61"/>
  <c r="K13" i="61"/>
  <c r="K15" i="61"/>
  <c r="K18" i="61"/>
  <c r="C123" i="61"/>
  <c r="K114" i="61"/>
  <c r="C124" i="61"/>
  <c r="C125" i="61"/>
  <c r="K15" i="60"/>
  <c r="K13" i="60"/>
  <c r="K12" i="60"/>
  <c r="K11" i="60"/>
  <c r="M114" i="61"/>
  <c r="I114" i="61"/>
  <c r="H114" i="61"/>
  <c r="G114" i="61"/>
  <c r="F114" i="61"/>
  <c r="E114" i="61"/>
  <c r="D114" i="61"/>
  <c r="C114" i="61"/>
  <c r="M112" i="61"/>
  <c r="J112" i="61"/>
  <c r="L112" i="61"/>
  <c r="M111" i="61"/>
  <c r="J111" i="61"/>
  <c r="L111" i="61"/>
  <c r="M110" i="61"/>
  <c r="J110" i="61"/>
  <c r="L110" i="61"/>
  <c r="J109" i="61"/>
  <c r="L109" i="61"/>
  <c r="M108" i="61"/>
  <c r="J108" i="61"/>
  <c r="L108" i="61"/>
  <c r="M105" i="61"/>
  <c r="J105" i="61"/>
  <c r="L105" i="61"/>
  <c r="M104" i="61"/>
  <c r="J104" i="61"/>
  <c r="L104" i="61"/>
  <c r="M103" i="61"/>
  <c r="J103" i="61"/>
  <c r="L103" i="61"/>
  <c r="M102" i="61"/>
  <c r="J102" i="61"/>
  <c r="L102" i="61"/>
  <c r="M101" i="61"/>
  <c r="J101" i="61"/>
  <c r="L101" i="61"/>
  <c r="M100" i="61"/>
  <c r="J100" i="61"/>
  <c r="L100" i="61"/>
  <c r="M97" i="61"/>
  <c r="J97" i="61"/>
  <c r="L97" i="61"/>
  <c r="M96" i="61"/>
  <c r="J96" i="61"/>
  <c r="L96" i="61"/>
  <c r="M95" i="61"/>
  <c r="J95" i="61"/>
  <c r="L95" i="61"/>
  <c r="M94" i="61"/>
  <c r="J94" i="61"/>
  <c r="L94" i="61"/>
  <c r="M93" i="61"/>
  <c r="J93" i="61"/>
  <c r="L93" i="61"/>
  <c r="M92" i="61"/>
  <c r="J92" i="61"/>
  <c r="L92" i="61"/>
  <c r="M91" i="61"/>
  <c r="J91" i="61"/>
  <c r="L91" i="61"/>
  <c r="M90" i="61"/>
  <c r="J90" i="61"/>
  <c r="L90" i="61"/>
  <c r="M89" i="61"/>
  <c r="J89" i="61"/>
  <c r="L89" i="61"/>
  <c r="M88" i="61"/>
  <c r="J88" i="61"/>
  <c r="L88" i="61"/>
  <c r="M87" i="61"/>
  <c r="J87" i="61"/>
  <c r="L87" i="61"/>
  <c r="M86" i="61"/>
  <c r="J86" i="61"/>
  <c r="L86" i="61"/>
  <c r="M85" i="61"/>
  <c r="J85" i="61"/>
  <c r="L85" i="61"/>
  <c r="M84" i="61"/>
  <c r="J84" i="61"/>
  <c r="L84" i="61"/>
  <c r="M83" i="61"/>
  <c r="J83" i="61"/>
  <c r="L83" i="61"/>
  <c r="M82" i="61"/>
  <c r="J82" i="61"/>
  <c r="L82" i="61"/>
  <c r="M81" i="61"/>
  <c r="J81" i="61"/>
  <c r="L81" i="61"/>
  <c r="M80" i="61"/>
  <c r="J80" i="61"/>
  <c r="L80" i="61"/>
  <c r="M79" i="61"/>
  <c r="J79" i="61"/>
  <c r="L79" i="61"/>
  <c r="M78" i="61"/>
  <c r="J78" i="61"/>
  <c r="L78" i="61"/>
  <c r="M77" i="61"/>
  <c r="J77" i="61"/>
  <c r="L77" i="61"/>
  <c r="M76" i="61"/>
  <c r="J76" i="61"/>
  <c r="L76" i="61"/>
  <c r="M75" i="61"/>
  <c r="J75" i="61"/>
  <c r="L75" i="61"/>
  <c r="M74" i="61"/>
  <c r="J74" i="61"/>
  <c r="L74" i="61"/>
  <c r="M73" i="61"/>
  <c r="J73" i="61"/>
  <c r="L73" i="61"/>
  <c r="M72" i="61"/>
  <c r="J72" i="61"/>
  <c r="L72" i="61"/>
  <c r="M69" i="61"/>
  <c r="J69" i="61"/>
  <c r="L69" i="61"/>
  <c r="M68" i="61"/>
  <c r="J68" i="61"/>
  <c r="L68" i="61"/>
  <c r="M67" i="61"/>
  <c r="J67" i="61"/>
  <c r="L67" i="61"/>
  <c r="M66" i="61"/>
  <c r="J66" i="61"/>
  <c r="L66" i="61"/>
  <c r="M65" i="61"/>
  <c r="J65" i="61"/>
  <c r="L65" i="61"/>
  <c r="M64" i="61"/>
  <c r="J64" i="61"/>
  <c r="L64" i="61"/>
  <c r="M63" i="61"/>
  <c r="J63" i="61"/>
  <c r="L63" i="61"/>
  <c r="M62" i="61"/>
  <c r="J62" i="61"/>
  <c r="L62" i="61"/>
  <c r="M61" i="61"/>
  <c r="J61" i="61"/>
  <c r="L61" i="61"/>
  <c r="M60" i="61"/>
  <c r="J60" i="61"/>
  <c r="L60" i="61"/>
  <c r="M59" i="61"/>
  <c r="J59" i="61"/>
  <c r="L59" i="61"/>
  <c r="M58" i="61"/>
  <c r="J58" i="61"/>
  <c r="L58" i="61"/>
  <c r="M57" i="61"/>
  <c r="J57" i="61"/>
  <c r="L57" i="61"/>
  <c r="M56" i="61"/>
  <c r="J56" i="61"/>
  <c r="L56" i="61"/>
  <c r="M55" i="61"/>
  <c r="J55" i="61"/>
  <c r="L55" i="61"/>
  <c r="M54" i="61"/>
  <c r="J54" i="61"/>
  <c r="L54" i="61"/>
  <c r="M53" i="61"/>
  <c r="J53" i="61"/>
  <c r="L53" i="61"/>
  <c r="M52" i="61"/>
  <c r="J52" i="61"/>
  <c r="L52" i="61"/>
  <c r="M51" i="61"/>
  <c r="J51" i="61"/>
  <c r="L51" i="61"/>
  <c r="M50" i="61"/>
  <c r="J50" i="61"/>
  <c r="L50" i="61"/>
  <c r="M49" i="61"/>
  <c r="J49" i="61"/>
  <c r="L49" i="61"/>
  <c r="M48" i="61"/>
  <c r="J48" i="61"/>
  <c r="L48" i="61"/>
  <c r="M47" i="61"/>
  <c r="J47" i="61"/>
  <c r="L47" i="61"/>
  <c r="M46" i="61"/>
  <c r="J46" i="61"/>
  <c r="L46" i="61"/>
  <c r="M45" i="61"/>
  <c r="J45" i="61"/>
  <c r="L45" i="61"/>
  <c r="M44" i="61"/>
  <c r="J44" i="61"/>
  <c r="L44" i="61"/>
  <c r="M43" i="61"/>
  <c r="J43" i="61"/>
  <c r="L43" i="61"/>
  <c r="M42" i="61"/>
  <c r="J42" i="61"/>
  <c r="L42" i="61"/>
  <c r="M41" i="61"/>
  <c r="J41" i="61"/>
  <c r="L41" i="61"/>
  <c r="M40" i="61"/>
  <c r="J40" i="61"/>
  <c r="L40" i="61"/>
  <c r="M39" i="61"/>
  <c r="J39" i="61"/>
  <c r="L39" i="61"/>
  <c r="M38" i="61"/>
  <c r="J38" i="61"/>
  <c r="L38" i="61"/>
  <c r="M37" i="61"/>
  <c r="J37" i="61"/>
  <c r="L37" i="61"/>
  <c r="M36" i="61"/>
  <c r="J36" i="61"/>
  <c r="L36" i="61"/>
  <c r="M33" i="61"/>
  <c r="J33" i="61"/>
  <c r="L33" i="61"/>
  <c r="M32" i="61"/>
  <c r="J32" i="61"/>
  <c r="L32" i="61"/>
  <c r="M31" i="61"/>
  <c r="J31" i="61"/>
  <c r="L31" i="61"/>
  <c r="M30" i="61"/>
  <c r="J30" i="61"/>
  <c r="L30" i="61"/>
  <c r="M29" i="61"/>
  <c r="J29" i="61"/>
  <c r="L29" i="61"/>
  <c r="M28" i="61"/>
  <c r="J28" i="61"/>
  <c r="L28" i="61"/>
  <c r="M27" i="61"/>
  <c r="J27" i="61"/>
  <c r="L27" i="61"/>
  <c r="M26" i="61"/>
  <c r="J26" i="61"/>
  <c r="L26" i="61"/>
  <c r="M25" i="61"/>
  <c r="J25" i="61"/>
  <c r="L25" i="61"/>
  <c r="M24" i="61"/>
  <c r="J24" i="61"/>
  <c r="L24" i="61"/>
  <c r="M23" i="61"/>
  <c r="J23" i="61"/>
  <c r="L23" i="61"/>
  <c r="M22" i="61"/>
  <c r="J22" i="61"/>
  <c r="L22" i="61"/>
  <c r="I18" i="61"/>
  <c r="G18" i="61"/>
  <c r="F18" i="61"/>
  <c r="E18" i="61"/>
  <c r="D18" i="61"/>
  <c r="L17" i="61"/>
  <c r="J17" i="61"/>
  <c r="J16" i="61"/>
  <c r="L16" i="61"/>
  <c r="J15" i="61"/>
  <c r="L15" i="61"/>
  <c r="J14" i="61"/>
  <c r="L14" i="61"/>
  <c r="C13" i="61"/>
  <c r="J13" i="61"/>
  <c r="L13" i="61"/>
  <c r="J12" i="61"/>
  <c r="L12" i="61"/>
  <c r="C11" i="61"/>
  <c r="C18" i="61"/>
  <c r="J10" i="61"/>
  <c r="L10" i="61"/>
  <c r="M10" i="61"/>
  <c r="M17" i="61"/>
  <c r="M18" i="61"/>
  <c r="M14" i="61"/>
  <c r="M12" i="61"/>
  <c r="M13" i="61"/>
  <c r="L114" i="61"/>
  <c r="J114" i="61"/>
  <c r="M11" i="61"/>
  <c r="J11" i="61"/>
  <c r="M109" i="61"/>
  <c r="K114" i="60"/>
  <c r="M114" i="60"/>
  <c r="I114" i="60"/>
  <c r="H114" i="60"/>
  <c r="G114" i="60"/>
  <c r="F114" i="60"/>
  <c r="E114" i="60"/>
  <c r="D114" i="60"/>
  <c r="C114" i="60"/>
  <c r="J112" i="60"/>
  <c r="L112" i="60"/>
  <c r="L111" i="60"/>
  <c r="J111" i="60"/>
  <c r="J110" i="60"/>
  <c r="L110" i="60"/>
  <c r="J109" i="60"/>
  <c r="L109" i="60"/>
  <c r="J108" i="60"/>
  <c r="L108" i="60"/>
  <c r="J105" i="60"/>
  <c r="L105" i="60"/>
  <c r="J104" i="60"/>
  <c r="L104" i="60"/>
  <c r="J103" i="60"/>
  <c r="L103" i="60"/>
  <c r="J102" i="60"/>
  <c r="L102" i="60"/>
  <c r="L101" i="60"/>
  <c r="J101" i="60"/>
  <c r="J100" i="60"/>
  <c r="L100" i="60"/>
  <c r="J97" i="60"/>
  <c r="L97" i="60"/>
  <c r="J96" i="60"/>
  <c r="L96" i="60"/>
  <c r="J95" i="60"/>
  <c r="L95" i="60"/>
  <c r="J94" i="60"/>
  <c r="L94" i="60"/>
  <c r="J93" i="60"/>
  <c r="L93" i="60"/>
  <c r="J92" i="60"/>
  <c r="L92" i="60"/>
  <c r="L91" i="60"/>
  <c r="J91" i="60"/>
  <c r="J90" i="60"/>
  <c r="L90" i="60"/>
  <c r="J89" i="60"/>
  <c r="L89" i="60"/>
  <c r="J88" i="60"/>
  <c r="L88" i="60"/>
  <c r="J87" i="60"/>
  <c r="L87" i="60"/>
  <c r="J86" i="60"/>
  <c r="L86" i="60"/>
  <c r="J85" i="60"/>
  <c r="L85" i="60"/>
  <c r="J84" i="60"/>
  <c r="L84" i="60"/>
  <c r="L83" i="60"/>
  <c r="J83" i="60"/>
  <c r="J82" i="60"/>
  <c r="L82" i="60"/>
  <c r="J81" i="60"/>
  <c r="L81" i="60"/>
  <c r="J80" i="60"/>
  <c r="L80" i="60"/>
  <c r="L79" i="60"/>
  <c r="J79" i="60"/>
  <c r="J78" i="60"/>
  <c r="L78" i="60"/>
  <c r="J77" i="60"/>
  <c r="L77" i="60"/>
  <c r="J76" i="60"/>
  <c r="L76" i="60"/>
  <c r="J75" i="60"/>
  <c r="L75" i="60"/>
  <c r="J74" i="60"/>
  <c r="L74" i="60"/>
  <c r="J73" i="60"/>
  <c r="L73" i="60"/>
  <c r="J72" i="60"/>
  <c r="L72" i="60"/>
  <c r="J69" i="60"/>
  <c r="L69" i="60"/>
  <c r="J68" i="60"/>
  <c r="L68" i="60"/>
  <c r="J67" i="60"/>
  <c r="L67" i="60"/>
  <c r="J66" i="60"/>
  <c r="L66" i="60"/>
  <c r="L65" i="60"/>
  <c r="J65" i="60"/>
  <c r="J64" i="60"/>
  <c r="L64" i="60"/>
  <c r="J63" i="60"/>
  <c r="L63" i="60"/>
  <c r="J62" i="60"/>
  <c r="L62" i="60"/>
  <c r="J61" i="60"/>
  <c r="L61" i="60"/>
  <c r="J60" i="60"/>
  <c r="L60" i="60"/>
  <c r="J59" i="60"/>
  <c r="L59" i="60"/>
  <c r="J58" i="60"/>
  <c r="L58" i="60"/>
  <c r="L57" i="60"/>
  <c r="J57" i="60"/>
  <c r="J56" i="60"/>
  <c r="L56" i="60"/>
  <c r="J55" i="60"/>
  <c r="L55" i="60"/>
  <c r="J54" i="60"/>
  <c r="L54" i="60"/>
  <c r="L53" i="60"/>
  <c r="J53" i="60"/>
  <c r="J52" i="60"/>
  <c r="L52" i="60"/>
  <c r="J51" i="60"/>
  <c r="L51" i="60"/>
  <c r="J50" i="60"/>
  <c r="L50" i="60"/>
  <c r="J49" i="60"/>
  <c r="L49" i="60"/>
  <c r="J48" i="60"/>
  <c r="L48" i="60"/>
  <c r="J47" i="60"/>
  <c r="L47" i="60"/>
  <c r="J46" i="60"/>
  <c r="L46" i="60"/>
  <c r="J45" i="60"/>
  <c r="L45" i="60"/>
  <c r="J44" i="60"/>
  <c r="L44" i="60"/>
  <c r="J43" i="60"/>
  <c r="L43" i="60"/>
  <c r="J42" i="60"/>
  <c r="L42" i="60"/>
  <c r="L41" i="60"/>
  <c r="J41" i="60"/>
  <c r="J40" i="60"/>
  <c r="L40" i="60"/>
  <c r="J39" i="60"/>
  <c r="L39" i="60"/>
  <c r="J38" i="60"/>
  <c r="L38" i="60"/>
  <c r="L37" i="60"/>
  <c r="J37" i="60"/>
  <c r="J36" i="60"/>
  <c r="L36" i="60"/>
  <c r="J33" i="60"/>
  <c r="L33" i="60"/>
  <c r="L32" i="60"/>
  <c r="J32" i="60"/>
  <c r="L31" i="60"/>
  <c r="J31" i="60"/>
  <c r="J30" i="60"/>
  <c r="L30" i="60"/>
  <c r="J29" i="60"/>
  <c r="L29" i="60"/>
  <c r="J28" i="60"/>
  <c r="L28" i="60"/>
  <c r="L27" i="60"/>
  <c r="J27" i="60"/>
  <c r="J26" i="60"/>
  <c r="L26" i="60"/>
  <c r="J25" i="60"/>
  <c r="L25" i="60"/>
  <c r="L24" i="60"/>
  <c r="J24" i="60"/>
  <c r="L23" i="60"/>
  <c r="J23" i="60"/>
  <c r="J22" i="60"/>
  <c r="L22" i="60"/>
  <c r="I18" i="60"/>
  <c r="G18" i="60"/>
  <c r="F18" i="60"/>
  <c r="E18" i="60"/>
  <c r="D18" i="60"/>
  <c r="L17" i="60"/>
  <c r="J17" i="60"/>
  <c r="J16" i="60"/>
  <c r="L16" i="60"/>
  <c r="L15" i="60"/>
  <c r="J15" i="60"/>
  <c r="L14" i="60"/>
  <c r="J14" i="60"/>
  <c r="J13" i="60"/>
  <c r="C13" i="60"/>
  <c r="L12" i="60"/>
  <c r="J12" i="60"/>
  <c r="K18" i="60"/>
  <c r="C11" i="60"/>
  <c r="C18" i="60"/>
  <c r="L10" i="60"/>
  <c r="J10" i="60"/>
  <c r="M59" i="60"/>
  <c r="M112" i="60"/>
  <c r="M22" i="60"/>
  <c r="M57" i="60"/>
  <c r="M65" i="60"/>
  <c r="M88" i="60"/>
  <c r="M96" i="60"/>
  <c r="M39" i="60"/>
  <c r="M41" i="60"/>
  <c r="M47" i="60"/>
  <c r="M56" i="60"/>
  <c r="M86" i="60"/>
  <c r="M94" i="60"/>
  <c r="M67" i="60"/>
  <c r="M49" i="60"/>
  <c r="M63" i="60"/>
  <c r="M28" i="60"/>
  <c r="M33" i="60"/>
  <c r="M37" i="60"/>
  <c r="M45" i="60"/>
  <c r="M75" i="60"/>
  <c r="M81" i="60"/>
  <c r="M92" i="60"/>
  <c r="M23" i="60"/>
  <c r="M25" i="60"/>
  <c r="M30" i="60"/>
  <c r="M43" i="60"/>
  <c r="M51" i="60"/>
  <c r="M61" i="60"/>
  <c r="M77" i="60"/>
  <c r="M79" i="60"/>
  <c r="M100" i="60"/>
  <c r="M108" i="60"/>
  <c r="M27" i="60"/>
  <c r="M29" i="60"/>
  <c r="M32" i="60"/>
  <c r="M36" i="60"/>
  <c r="M42" i="60"/>
  <c r="M44" i="60"/>
  <c r="M46" i="60"/>
  <c r="M48" i="60"/>
  <c r="M50" i="60"/>
  <c r="M52" i="60"/>
  <c r="M54" i="60"/>
  <c r="M58" i="60"/>
  <c r="M60" i="60"/>
  <c r="M62" i="60"/>
  <c r="M64" i="60"/>
  <c r="M73" i="60"/>
  <c r="M80" i="60"/>
  <c r="M82" i="60"/>
  <c r="M84" i="60"/>
  <c r="M91" i="60"/>
  <c r="M93" i="60"/>
  <c r="M95" i="60"/>
  <c r="M97" i="60"/>
  <c r="M111" i="60"/>
  <c r="M24" i="60"/>
  <c r="M26" i="60"/>
  <c r="M31" i="60"/>
  <c r="M69" i="60"/>
  <c r="M90" i="60"/>
  <c r="M101" i="60"/>
  <c r="M38" i="60"/>
  <c r="M40" i="60"/>
  <c r="M53" i="60"/>
  <c r="M55" i="60"/>
  <c r="M66" i="60"/>
  <c r="M68" i="60"/>
  <c r="M72" i="60"/>
  <c r="M74" i="60"/>
  <c r="M76" i="60"/>
  <c r="M78" i="60"/>
  <c r="M83" i="60"/>
  <c r="M85" i="60"/>
  <c r="M87" i="60"/>
  <c r="M89" i="60"/>
  <c r="M102" i="60"/>
  <c r="M105" i="60"/>
  <c r="M13" i="60"/>
  <c r="J18" i="61"/>
  <c r="L11" i="61"/>
  <c r="L18" i="61"/>
  <c r="M10" i="60"/>
  <c r="M11" i="60"/>
  <c r="C123" i="60"/>
  <c r="M17" i="60"/>
  <c r="M18" i="60"/>
  <c r="M14" i="60"/>
  <c r="M12" i="60"/>
  <c r="L114" i="60"/>
  <c r="J114" i="60"/>
  <c r="L13" i="60"/>
  <c r="C124" i="60"/>
  <c r="J11" i="60"/>
  <c r="M104" i="60"/>
  <c r="M110" i="60"/>
  <c r="M103" i="60"/>
  <c r="M109" i="60"/>
  <c r="K15" i="59"/>
  <c r="K13" i="59"/>
  <c r="K12" i="59"/>
  <c r="K11" i="59"/>
  <c r="J18" i="60"/>
  <c r="L11" i="60"/>
  <c r="L18" i="60"/>
  <c r="C125" i="60"/>
  <c r="C129" i="60"/>
  <c r="K114" i="59"/>
  <c r="M110" i="59"/>
  <c r="I114" i="59"/>
  <c r="H114" i="59"/>
  <c r="G114" i="59"/>
  <c r="F114" i="59"/>
  <c r="E114" i="59"/>
  <c r="D114" i="59"/>
  <c r="C114" i="59"/>
  <c r="J112" i="59"/>
  <c r="L112" i="59"/>
  <c r="J111" i="59"/>
  <c r="L111" i="59"/>
  <c r="L110" i="59"/>
  <c r="J110" i="59"/>
  <c r="J109" i="59"/>
  <c r="L109" i="59"/>
  <c r="L108" i="59"/>
  <c r="J108" i="59"/>
  <c r="J105" i="59"/>
  <c r="L105" i="59"/>
  <c r="L104" i="59"/>
  <c r="J104" i="59"/>
  <c r="J103" i="59"/>
  <c r="L103" i="59"/>
  <c r="L102" i="59"/>
  <c r="J102" i="59"/>
  <c r="J101" i="59"/>
  <c r="L101" i="59"/>
  <c r="L100" i="59"/>
  <c r="J100" i="59"/>
  <c r="J97" i="59"/>
  <c r="L97" i="59"/>
  <c r="J96" i="59"/>
  <c r="L96" i="59"/>
  <c r="J95" i="59"/>
  <c r="L95" i="59"/>
  <c r="L94" i="59"/>
  <c r="J94" i="59"/>
  <c r="J93" i="59"/>
  <c r="L93" i="59"/>
  <c r="L92" i="59"/>
  <c r="J92" i="59"/>
  <c r="J91" i="59"/>
  <c r="L91" i="59"/>
  <c r="L90" i="59"/>
  <c r="J90" i="59"/>
  <c r="J89" i="59"/>
  <c r="L89" i="59"/>
  <c r="L88" i="59"/>
  <c r="J88" i="59"/>
  <c r="J87" i="59"/>
  <c r="L87" i="59"/>
  <c r="J86" i="59"/>
  <c r="L86" i="59"/>
  <c r="J85" i="59"/>
  <c r="L85" i="59"/>
  <c r="L84" i="59"/>
  <c r="J84" i="59"/>
  <c r="J83" i="59"/>
  <c r="L83" i="59"/>
  <c r="L82" i="59"/>
  <c r="J82" i="59"/>
  <c r="J81" i="59"/>
  <c r="L81" i="59"/>
  <c r="L80" i="59"/>
  <c r="J80" i="59"/>
  <c r="J79" i="59"/>
  <c r="L79" i="59"/>
  <c r="L78" i="59"/>
  <c r="J78" i="59"/>
  <c r="J77" i="59"/>
  <c r="L77" i="59"/>
  <c r="L76" i="59"/>
  <c r="J76" i="59"/>
  <c r="J75" i="59"/>
  <c r="L75" i="59"/>
  <c r="L74" i="59"/>
  <c r="J74" i="59"/>
  <c r="J73" i="59"/>
  <c r="L73" i="59"/>
  <c r="L72" i="59"/>
  <c r="J72" i="59"/>
  <c r="J69" i="59"/>
  <c r="L69" i="59"/>
  <c r="L68" i="59"/>
  <c r="J68" i="59"/>
  <c r="J67" i="59"/>
  <c r="L67" i="59"/>
  <c r="L66" i="59"/>
  <c r="J66" i="59"/>
  <c r="J65" i="59"/>
  <c r="L65" i="59"/>
  <c r="J64" i="59"/>
  <c r="L64" i="59"/>
  <c r="J63" i="59"/>
  <c r="L63" i="59"/>
  <c r="L62" i="59"/>
  <c r="J62" i="59"/>
  <c r="J61" i="59"/>
  <c r="L61" i="59"/>
  <c r="L60" i="59"/>
  <c r="J60" i="59"/>
  <c r="J59" i="59"/>
  <c r="L59" i="59"/>
  <c r="L58" i="59"/>
  <c r="J58" i="59"/>
  <c r="J57" i="59"/>
  <c r="L57" i="59"/>
  <c r="L56" i="59"/>
  <c r="J56" i="59"/>
  <c r="J55" i="59"/>
  <c r="L55" i="59"/>
  <c r="L54" i="59"/>
  <c r="J54" i="59"/>
  <c r="J53" i="59"/>
  <c r="L53" i="59"/>
  <c r="L52" i="59"/>
  <c r="J52" i="59"/>
  <c r="J51" i="59"/>
  <c r="L51" i="59"/>
  <c r="L50" i="59"/>
  <c r="J50" i="59"/>
  <c r="J49" i="59"/>
  <c r="L49" i="59"/>
  <c r="L48" i="59"/>
  <c r="J48" i="59"/>
  <c r="J47" i="59"/>
  <c r="L47" i="59"/>
  <c r="L46" i="59"/>
  <c r="J46" i="59"/>
  <c r="J45" i="59"/>
  <c r="L45" i="59"/>
  <c r="J44" i="59"/>
  <c r="L44" i="59"/>
  <c r="M43" i="59"/>
  <c r="J43" i="59"/>
  <c r="L43" i="59"/>
  <c r="L42" i="59"/>
  <c r="J42" i="59"/>
  <c r="M41" i="59"/>
  <c r="J41" i="59"/>
  <c r="L41" i="59"/>
  <c r="L40" i="59"/>
  <c r="J40" i="59"/>
  <c r="M39" i="59"/>
  <c r="J39" i="59"/>
  <c r="L39" i="59"/>
  <c r="L38" i="59"/>
  <c r="J38" i="59"/>
  <c r="M37" i="59"/>
  <c r="J37" i="59"/>
  <c r="L37" i="59"/>
  <c r="L36" i="59"/>
  <c r="J36" i="59"/>
  <c r="M33" i="59"/>
  <c r="J33" i="59"/>
  <c r="L33" i="59"/>
  <c r="L32" i="59"/>
  <c r="J32" i="59"/>
  <c r="M31" i="59"/>
  <c r="J31" i="59"/>
  <c r="L31" i="59"/>
  <c r="L30" i="59"/>
  <c r="J30" i="59"/>
  <c r="M29" i="59"/>
  <c r="J29" i="59"/>
  <c r="L29" i="59"/>
  <c r="L28" i="59"/>
  <c r="J28" i="59"/>
  <c r="M27" i="59"/>
  <c r="J27" i="59"/>
  <c r="L27" i="59"/>
  <c r="L26" i="59"/>
  <c r="J26" i="59"/>
  <c r="M25" i="59"/>
  <c r="J25" i="59"/>
  <c r="L25" i="59"/>
  <c r="L24" i="59"/>
  <c r="J24" i="59"/>
  <c r="M23" i="59"/>
  <c r="J23" i="59"/>
  <c r="L23" i="59"/>
  <c r="L22" i="59"/>
  <c r="J22" i="59"/>
  <c r="I18" i="59"/>
  <c r="G18" i="59"/>
  <c r="F18" i="59"/>
  <c r="E18" i="59"/>
  <c r="D18" i="59"/>
  <c r="L17" i="59"/>
  <c r="J17" i="59"/>
  <c r="J16" i="59"/>
  <c r="L16" i="59"/>
  <c r="L15" i="59"/>
  <c r="J15" i="59"/>
  <c r="J14" i="59"/>
  <c r="L14" i="59"/>
  <c r="J13" i="59"/>
  <c r="L13" i="59"/>
  <c r="C13" i="59"/>
  <c r="J12" i="59"/>
  <c r="K18" i="59"/>
  <c r="C11" i="59"/>
  <c r="C18" i="59"/>
  <c r="L10" i="59"/>
  <c r="J10" i="59"/>
  <c r="M12" i="59"/>
  <c r="M97" i="59"/>
  <c r="M101" i="59"/>
  <c r="M103" i="59"/>
  <c r="M105" i="59"/>
  <c r="M109" i="59"/>
  <c r="M111" i="59"/>
  <c r="M65" i="59"/>
  <c r="M67" i="59"/>
  <c r="M69" i="59"/>
  <c r="M73" i="59"/>
  <c r="M75" i="59"/>
  <c r="M77" i="59"/>
  <c r="M79" i="59"/>
  <c r="M81" i="59"/>
  <c r="M83" i="59"/>
  <c r="M85" i="59"/>
  <c r="M114" i="59"/>
  <c r="M45" i="59"/>
  <c r="M47" i="59"/>
  <c r="M49" i="59"/>
  <c r="M51" i="59"/>
  <c r="M53" i="59"/>
  <c r="M55" i="59"/>
  <c r="M57" i="59"/>
  <c r="M59" i="59"/>
  <c r="M61" i="59"/>
  <c r="M63" i="59"/>
  <c r="M87" i="59"/>
  <c r="M89" i="59"/>
  <c r="M91" i="59"/>
  <c r="M95" i="59"/>
  <c r="M93" i="59"/>
  <c r="J114" i="59"/>
  <c r="L114" i="59"/>
  <c r="M17" i="59"/>
  <c r="M18" i="59"/>
  <c r="M14" i="59"/>
  <c r="C123" i="59"/>
  <c r="M10" i="59"/>
  <c r="M13" i="59"/>
  <c r="L12" i="59"/>
  <c r="M24" i="59"/>
  <c r="M28" i="59"/>
  <c r="M32" i="59"/>
  <c r="M38" i="59"/>
  <c r="M42" i="59"/>
  <c r="M46" i="59"/>
  <c r="M50" i="59"/>
  <c r="M54" i="59"/>
  <c r="M58" i="59"/>
  <c r="M62" i="59"/>
  <c r="M66" i="59"/>
  <c r="M72" i="59"/>
  <c r="M76" i="59"/>
  <c r="M80" i="59"/>
  <c r="M84" i="59"/>
  <c r="M88" i="59"/>
  <c r="M92" i="59"/>
  <c r="M96" i="59"/>
  <c r="M102" i="59"/>
  <c r="M108" i="59"/>
  <c r="M112" i="59"/>
  <c r="M11" i="59"/>
  <c r="C124" i="59"/>
  <c r="J11" i="59"/>
  <c r="M22" i="59"/>
  <c r="M26" i="59"/>
  <c r="M30" i="59"/>
  <c r="M36" i="59"/>
  <c r="M40" i="59"/>
  <c r="M44" i="59"/>
  <c r="M48" i="59"/>
  <c r="M52" i="59"/>
  <c r="M56" i="59"/>
  <c r="M60" i="59"/>
  <c r="M64" i="59"/>
  <c r="M68" i="59"/>
  <c r="M74" i="59"/>
  <c r="M78" i="59"/>
  <c r="M82" i="59"/>
  <c r="M86" i="59"/>
  <c r="M90" i="59"/>
  <c r="M94" i="59"/>
  <c r="M100" i="59"/>
  <c r="M104" i="59"/>
  <c r="J93" i="58"/>
  <c r="L93" i="58"/>
  <c r="L114" i="58"/>
  <c r="J114" i="58"/>
  <c r="L18" i="58"/>
  <c r="J18" i="58"/>
  <c r="K18" i="58"/>
  <c r="J18" i="59"/>
  <c r="L11" i="59"/>
  <c r="L18" i="59"/>
  <c r="C125" i="59"/>
  <c r="C129" i="59"/>
  <c r="K15" i="58"/>
  <c r="K13" i="58"/>
  <c r="K12" i="58"/>
  <c r="K11" i="58"/>
  <c r="K114" i="58"/>
  <c r="M114" i="58"/>
  <c r="I114" i="58"/>
  <c r="H114" i="58"/>
  <c r="G114" i="58"/>
  <c r="F114" i="58"/>
  <c r="E114" i="58"/>
  <c r="D114" i="58"/>
  <c r="C114" i="58"/>
  <c r="J112" i="58"/>
  <c r="L112" i="58"/>
  <c r="L111" i="58"/>
  <c r="J111" i="58"/>
  <c r="L110" i="58"/>
  <c r="J110" i="58"/>
  <c r="J109" i="58"/>
  <c r="L109" i="58"/>
  <c r="J108" i="58"/>
  <c r="L108" i="58"/>
  <c r="L105" i="58"/>
  <c r="J105" i="58"/>
  <c r="L104" i="58"/>
  <c r="J104" i="58"/>
  <c r="J103" i="58"/>
  <c r="L103" i="58"/>
  <c r="J102" i="58"/>
  <c r="L102" i="58"/>
  <c r="L101" i="58"/>
  <c r="J101" i="58"/>
  <c r="L100" i="58"/>
  <c r="J100" i="58"/>
  <c r="J97" i="58"/>
  <c r="L97" i="58"/>
  <c r="J96" i="58"/>
  <c r="L96" i="58"/>
  <c r="L95" i="58"/>
  <c r="J95" i="58"/>
  <c r="L94" i="58"/>
  <c r="J94" i="58"/>
  <c r="J92" i="58"/>
  <c r="L92" i="58"/>
  <c r="L91" i="58"/>
  <c r="J91" i="58"/>
  <c r="L90" i="58"/>
  <c r="J90" i="58"/>
  <c r="J89" i="58"/>
  <c r="L89" i="58"/>
  <c r="J88" i="58"/>
  <c r="L88" i="58"/>
  <c r="L87" i="58"/>
  <c r="J87" i="58"/>
  <c r="L86" i="58"/>
  <c r="J86" i="58"/>
  <c r="J85" i="58"/>
  <c r="L85" i="58"/>
  <c r="J84" i="58"/>
  <c r="L84" i="58"/>
  <c r="L83" i="58"/>
  <c r="J83" i="58"/>
  <c r="L82" i="58"/>
  <c r="J82" i="58"/>
  <c r="J81" i="58"/>
  <c r="L81" i="58"/>
  <c r="J80" i="58"/>
  <c r="L80" i="58"/>
  <c r="L79" i="58"/>
  <c r="J79" i="58"/>
  <c r="L78" i="58"/>
  <c r="J78" i="58"/>
  <c r="J77" i="58"/>
  <c r="L77" i="58"/>
  <c r="J76" i="58"/>
  <c r="L76" i="58"/>
  <c r="L75" i="58"/>
  <c r="J75" i="58"/>
  <c r="L74" i="58"/>
  <c r="J74" i="58"/>
  <c r="J73" i="58"/>
  <c r="L73" i="58"/>
  <c r="J72" i="58"/>
  <c r="L72" i="58"/>
  <c r="L69" i="58"/>
  <c r="J69" i="58"/>
  <c r="L68" i="58"/>
  <c r="J68" i="58"/>
  <c r="J67" i="58"/>
  <c r="L67" i="58"/>
  <c r="J66" i="58"/>
  <c r="L66" i="58"/>
  <c r="L65" i="58"/>
  <c r="J65" i="58"/>
  <c r="L64" i="58"/>
  <c r="J64" i="58"/>
  <c r="J63" i="58"/>
  <c r="L63" i="58"/>
  <c r="J62" i="58"/>
  <c r="L62" i="58"/>
  <c r="L61" i="58"/>
  <c r="J61" i="58"/>
  <c r="L60" i="58"/>
  <c r="J60" i="58"/>
  <c r="J59" i="58"/>
  <c r="L59" i="58"/>
  <c r="J58" i="58"/>
  <c r="L58" i="58"/>
  <c r="L57" i="58"/>
  <c r="J57" i="58"/>
  <c r="L56" i="58"/>
  <c r="J56" i="58"/>
  <c r="J55" i="58"/>
  <c r="L55" i="58"/>
  <c r="J54" i="58"/>
  <c r="L54" i="58"/>
  <c r="L53" i="58"/>
  <c r="J53" i="58"/>
  <c r="L52" i="58"/>
  <c r="J52" i="58"/>
  <c r="J51" i="58"/>
  <c r="L51" i="58"/>
  <c r="J50" i="58"/>
  <c r="L50" i="58"/>
  <c r="L49" i="58"/>
  <c r="J49" i="58"/>
  <c r="L48" i="58"/>
  <c r="J48" i="58"/>
  <c r="J47" i="58"/>
  <c r="L47" i="58"/>
  <c r="J46" i="58"/>
  <c r="L46" i="58"/>
  <c r="L45" i="58"/>
  <c r="J45" i="58"/>
  <c r="L44" i="58"/>
  <c r="J44" i="58"/>
  <c r="J43" i="58"/>
  <c r="L43" i="58"/>
  <c r="J42" i="58"/>
  <c r="L42" i="58"/>
  <c r="L41" i="58"/>
  <c r="J41" i="58"/>
  <c r="L40" i="58"/>
  <c r="J40" i="58"/>
  <c r="J39" i="58"/>
  <c r="L39" i="58"/>
  <c r="J38" i="58"/>
  <c r="L38" i="58"/>
  <c r="L37" i="58"/>
  <c r="J37" i="58"/>
  <c r="L36" i="58"/>
  <c r="J36" i="58"/>
  <c r="J33" i="58"/>
  <c r="L33" i="58"/>
  <c r="J32" i="58"/>
  <c r="L32" i="58"/>
  <c r="L31" i="58"/>
  <c r="J31" i="58"/>
  <c r="L30" i="58"/>
  <c r="J30" i="58"/>
  <c r="J29" i="58"/>
  <c r="L29" i="58"/>
  <c r="J28" i="58"/>
  <c r="L28" i="58"/>
  <c r="L27" i="58"/>
  <c r="J27" i="58"/>
  <c r="L26" i="58"/>
  <c r="J26" i="58"/>
  <c r="J25" i="58"/>
  <c r="L25" i="58"/>
  <c r="J24" i="58"/>
  <c r="L24" i="58"/>
  <c r="L23" i="58"/>
  <c r="J23" i="58"/>
  <c r="L22" i="58"/>
  <c r="J22" i="58"/>
  <c r="I18" i="58"/>
  <c r="G18" i="58"/>
  <c r="F18" i="58"/>
  <c r="E18" i="58"/>
  <c r="D18" i="58"/>
  <c r="L17" i="58"/>
  <c r="J17" i="58"/>
  <c r="J16" i="58"/>
  <c r="L16" i="58"/>
  <c r="J15" i="58"/>
  <c r="L15" i="58"/>
  <c r="L14" i="58"/>
  <c r="J14" i="58"/>
  <c r="C13" i="58"/>
  <c r="J13" i="58"/>
  <c r="L13" i="58"/>
  <c r="J12" i="58"/>
  <c r="C11" i="58"/>
  <c r="C18" i="58"/>
  <c r="J10" i="58"/>
  <c r="L10" i="58"/>
  <c r="M87" i="58"/>
  <c r="M37" i="58"/>
  <c r="M31" i="58"/>
  <c r="M53" i="58"/>
  <c r="M69" i="58"/>
  <c r="M49" i="58"/>
  <c r="M83" i="58"/>
  <c r="M27" i="58"/>
  <c r="M45" i="58"/>
  <c r="M61" i="58"/>
  <c r="M79" i="58"/>
  <c r="M65" i="58"/>
  <c r="M23" i="58"/>
  <c r="M41" i="58"/>
  <c r="M57" i="58"/>
  <c r="M75" i="58"/>
  <c r="M91" i="58"/>
  <c r="M13" i="58"/>
  <c r="L12" i="58"/>
  <c r="M95" i="58"/>
  <c r="M101" i="58"/>
  <c r="M105" i="58"/>
  <c r="M111" i="58"/>
  <c r="C124" i="58"/>
  <c r="M26" i="58"/>
  <c r="M36" i="58"/>
  <c r="M48" i="58"/>
  <c r="M60" i="58"/>
  <c r="M68" i="58"/>
  <c r="M78" i="58"/>
  <c r="M82" i="58"/>
  <c r="M90" i="58"/>
  <c r="M100" i="58"/>
  <c r="M104" i="58"/>
  <c r="M24" i="58"/>
  <c r="M28" i="58"/>
  <c r="M32" i="58"/>
  <c r="M38" i="58"/>
  <c r="M42" i="58"/>
  <c r="M46" i="58"/>
  <c r="M50" i="58"/>
  <c r="M54" i="58"/>
  <c r="M58" i="58"/>
  <c r="M62" i="58"/>
  <c r="M66" i="58"/>
  <c r="M72" i="58"/>
  <c r="M76" i="58"/>
  <c r="M80" i="58"/>
  <c r="M84" i="58"/>
  <c r="M88" i="58"/>
  <c r="M92" i="58"/>
  <c r="M96" i="58"/>
  <c r="M102" i="58"/>
  <c r="M108" i="58"/>
  <c r="M112" i="58"/>
  <c r="J11" i="58"/>
  <c r="L11" i="58"/>
  <c r="M22" i="58"/>
  <c r="M30" i="58"/>
  <c r="M40" i="58"/>
  <c r="M44" i="58"/>
  <c r="M52" i="58"/>
  <c r="M56" i="58"/>
  <c r="M64" i="58"/>
  <c r="M74" i="58"/>
  <c r="M86" i="58"/>
  <c r="M94" i="58"/>
  <c r="M110" i="58"/>
  <c r="M25" i="58"/>
  <c r="M29" i="58"/>
  <c r="M33" i="58"/>
  <c r="M39" i="58"/>
  <c r="M43" i="58"/>
  <c r="M47" i="58"/>
  <c r="M51" i="58"/>
  <c r="M55" i="58"/>
  <c r="M59" i="58"/>
  <c r="M63" i="58"/>
  <c r="M67" i="58"/>
  <c r="M73" i="58"/>
  <c r="M77" i="58"/>
  <c r="M81" i="58"/>
  <c r="M85" i="58"/>
  <c r="M89" i="58"/>
  <c r="M93" i="58"/>
  <c r="M97" i="58"/>
  <c r="M103" i="58"/>
  <c r="M109" i="58"/>
  <c r="M11" i="58"/>
  <c r="M10" i="58"/>
  <c r="M17" i="58"/>
  <c r="M18" i="58"/>
  <c r="M12" i="58"/>
  <c r="M14" i="58"/>
  <c r="C123" i="58"/>
  <c r="C125" i="58"/>
  <c r="C129" i="58"/>
  <c r="K18" i="57"/>
  <c r="K15" i="57"/>
  <c r="K13" i="57"/>
  <c r="K12" i="57"/>
  <c r="K11" i="57"/>
  <c r="K114" i="57"/>
  <c r="M114" i="57"/>
  <c r="I114" i="57"/>
  <c r="H114" i="57"/>
  <c r="G114" i="57"/>
  <c r="F114" i="57"/>
  <c r="E114" i="57"/>
  <c r="D114" i="57"/>
  <c r="C114" i="57"/>
  <c r="L112" i="57"/>
  <c r="J112" i="57"/>
  <c r="L111" i="57"/>
  <c r="J111" i="57"/>
  <c r="J110" i="57"/>
  <c r="L110" i="57"/>
  <c r="J109" i="57"/>
  <c r="L109" i="57"/>
  <c r="L108" i="57"/>
  <c r="J108" i="57"/>
  <c r="L105" i="57"/>
  <c r="J105" i="57"/>
  <c r="J104" i="57"/>
  <c r="L104" i="57"/>
  <c r="J103" i="57"/>
  <c r="L103" i="57"/>
  <c r="L102" i="57"/>
  <c r="J102" i="57"/>
  <c r="L101" i="57"/>
  <c r="J101" i="57"/>
  <c r="J100" i="57"/>
  <c r="L100" i="57"/>
  <c r="J97" i="57"/>
  <c r="L97" i="57"/>
  <c r="L96" i="57"/>
  <c r="J96" i="57"/>
  <c r="L95" i="57"/>
  <c r="J95" i="57"/>
  <c r="J94" i="57"/>
  <c r="L94" i="57"/>
  <c r="J93" i="57"/>
  <c r="L93" i="57"/>
  <c r="L92" i="57"/>
  <c r="J92" i="57"/>
  <c r="L91" i="57"/>
  <c r="J91" i="57"/>
  <c r="J90" i="57"/>
  <c r="L90" i="57"/>
  <c r="J89" i="57"/>
  <c r="L89" i="57"/>
  <c r="L88" i="57"/>
  <c r="J88" i="57"/>
  <c r="L87" i="57"/>
  <c r="J87" i="57"/>
  <c r="J86" i="57"/>
  <c r="L86" i="57"/>
  <c r="J85" i="57"/>
  <c r="L85" i="57"/>
  <c r="L84" i="57"/>
  <c r="J84" i="57"/>
  <c r="L83" i="57"/>
  <c r="J83" i="57"/>
  <c r="J82" i="57"/>
  <c r="L82" i="57"/>
  <c r="J81" i="57"/>
  <c r="L81" i="57"/>
  <c r="L80" i="57"/>
  <c r="J80" i="57"/>
  <c r="L79" i="57"/>
  <c r="J79" i="57"/>
  <c r="J78" i="57"/>
  <c r="L78" i="57"/>
  <c r="J77" i="57"/>
  <c r="L77" i="57"/>
  <c r="L76" i="57"/>
  <c r="J76" i="57"/>
  <c r="L75" i="57"/>
  <c r="J75" i="57"/>
  <c r="J74" i="57"/>
  <c r="L74" i="57"/>
  <c r="J73" i="57"/>
  <c r="L73" i="57"/>
  <c r="L72" i="57"/>
  <c r="J72" i="57"/>
  <c r="L69" i="57"/>
  <c r="J69" i="57"/>
  <c r="J68" i="57"/>
  <c r="L68" i="57"/>
  <c r="J67" i="57"/>
  <c r="L67" i="57"/>
  <c r="L66" i="57"/>
  <c r="J66" i="57"/>
  <c r="L65" i="57"/>
  <c r="J65" i="57"/>
  <c r="J64" i="57"/>
  <c r="L64" i="57"/>
  <c r="J63" i="57"/>
  <c r="L63" i="57"/>
  <c r="L62" i="57"/>
  <c r="J62" i="57"/>
  <c r="L61" i="57"/>
  <c r="J61" i="57"/>
  <c r="J60" i="57"/>
  <c r="L60" i="57"/>
  <c r="J59" i="57"/>
  <c r="L59" i="57"/>
  <c r="L58" i="57"/>
  <c r="J58" i="57"/>
  <c r="L57" i="57"/>
  <c r="J57" i="57"/>
  <c r="J56" i="57"/>
  <c r="L56" i="57"/>
  <c r="J55" i="57"/>
  <c r="L55" i="57"/>
  <c r="L54" i="57"/>
  <c r="J54" i="57"/>
  <c r="L53" i="57"/>
  <c r="J53" i="57"/>
  <c r="J52" i="57"/>
  <c r="L52" i="57"/>
  <c r="J51" i="57"/>
  <c r="L51" i="57"/>
  <c r="L50" i="57"/>
  <c r="J50" i="57"/>
  <c r="L49" i="57"/>
  <c r="J49" i="57"/>
  <c r="J48" i="57"/>
  <c r="L48" i="57"/>
  <c r="J47" i="57"/>
  <c r="L47" i="57"/>
  <c r="L46" i="57"/>
  <c r="J46" i="57"/>
  <c r="L45" i="57"/>
  <c r="J45" i="57"/>
  <c r="J44" i="57"/>
  <c r="L44" i="57"/>
  <c r="J43" i="57"/>
  <c r="L43" i="57"/>
  <c r="L42" i="57"/>
  <c r="J42" i="57"/>
  <c r="L41" i="57"/>
  <c r="J41" i="57"/>
  <c r="J40" i="57"/>
  <c r="L40" i="57"/>
  <c r="J39" i="57"/>
  <c r="L39" i="57"/>
  <c r="L38" i="57"/>
  <c r="J38" i="57"/>
  <c r="L37" i="57"/>
  <c r="J37" i="57"/>
  <c r="J36" i="57"/>
  <c r="L36" i="57"/>
  <c r="J33" i="57"/>
  <c r="L33" i="57"/>
  <c r="L32" i="57"/>
  <c r="J32" i="57"/>
  <c r="L31" i="57"/>
  <c r="J31" i="57"/>
  <c r="J30" i="57"/>
  <c r="L30" i="57"/>
  <c r="J29" i="57"/>
  <c r="L29" i="57"/>
  <c r="L28" i="57"/>
  <c r="J28" i="57"/>
  <c r="L27" i="57"/>
  <c r="J27" i="57"/>
  <c r="J26" i="57"/>
  <c r="L26" i="57"/>
  <c r="J25" i="57"/>
  <c r="L25" i="57"/>
  <c r="L24" i="57"/>
  <c r="J24" i="57"/>
  <c r="L23" i="57"/>
  <c r="J23" i="57"/>
  <c r="J22" i="57"/>
  <c r="L22" i="57"/>
  <c r="I18" i="57"/>
  <c r="G18" i="57"/>
  <c r="F18" i="57"/>
  <c r="E18" i="57"/>
  <c r="D18" i="57"/>
  <c r="L17" i="57"/>
  <c r="J17" i="57"/>
  <c r="J16" i="57"/>
  <c r="L16" i="57"/>
  <c r="L15" i="57"/>
  <c r="J15" i="57"/>
  <c r="L14" i="57"/>
  <c r="J14" i="57"/>
  <c r="L13" i="57"/>
  <c r="J13" i="57"/>
  <c r="C13" i="57"/>
  <c r="L12" i="57"/>
  <c r="J12" i="57"/>
  <c r="C11" i="57"/>
  <c r="C18" i="57"/>
  <c r="L10" i="57"/>
  <c r="J10" i="57"/>
  <c r="M24" i="57"/>
  <c r="M38" i="57"/>
  <c r="M42" i="57"/>
  <c r="M50" i="57"/>
  <c r="M58" i="57"/>
  <c r="M66" i="57"/>
  <c r="M76" i="57"/>
  <c r="M84" i="57"/>
  <c r="M92" i="57"/>
  <c r="M27" i="57"/>
  <c r="M31" i="57"/>
  <c r="M37" i="57"/>
  <c r="M41" i="57"/>
  <c r="M49" i="57"/>
  <c r="M57" i="57"/>
  <c r="M65" i="57"/>
  <c r="M75" i="57"/>
  <c r="M83" i="57"/>
  <c r="M95" i="57"/>
  <c r="M105" i="57"/>
  <c r="M28" i="57"/>
  <c r="M32" i="57"/>
  <c r="M46" i="57"/>
  <c r="M54" i="57"/>
  <c r="M62" i="57"/>
  <c r="M72" i="57"/>
  <c r="M80" i="57"/>
  <c r="M88" i="57"/>
  <c r="M96" i="57"/>
  <c r="M102" i="57"/>
  <c r="M108" i="57"/>
  <c r="M112" i="57"/>
  <c r="M23" i="57"/>
  <c r="M45" i="57"/>
  <c r="M53" i="57"/>
  <c r="M61" i="57"/>
  <c r="M69" i="57"/>
  <c r="M79" i="57"/>
  <c r="M87" i="57"/>
  <c r="M91" i="57"/>
  <c r="M101" i="57"/>
  <c r="M111" i="57"/>
  <c r="L114" i="57"/>
  <c r="J114" i="57"/>
  <c r="C124" i="57"/>
  <c r="J11" i="57"/>
  <c r="M22" i="57"/>
  <c r="M26" i="57"/>
  <c r="M30" i="57"/>
  <c r="M36" i="57"/>
  <c r="M40" i="57"/>
  <c r="M44" i="57"/>
  <c r="M48" i="57"/>
  <c r="M52" i="57"/>
  <c r="M56" i="57"/>
  <c r="M60" i="57"/>
  <c r="M64" i="57"/>
  <c r="M68" i="57"/>
  <c r="M74" i="57"/>
  <c r="M78" i="57"/>
  <c r="M82" i="57"/>
  <c r="M86" i="57"/>
  <c r="M90" i="57"/>
  <c r="M94" i="57"/>
  <c r="M100" i="57"/>
  <c r="M104" i="57"/>
  <c r="M110" i="57"/>
  <c r="M25" i="57"/>
  <c r="M29" i="57"/>
  <c r="M33" i="57"/>
  <c r="M39" i="57"/>
  <c r="M43" i="57"/>
  <c r="M47" i="57"/>
  <c r="M51" i="57"/>
  <c r="M55" i="57"/>
  <c r="M59" i="57"/>
  <c r="M63" i="57"/>
  <c r="M67" i="57"/>
  <c r="M73" i="57"/>
  <c r="M77" i="57"/>
  <c r="M81" i="57"/>
  <c r="M85" i="57"/>
  <c r="M89" i="57"/>
  <c r="M93" i="57"/>
  <c r="M97" i="57"/>
  <c r="M103" i="57"/>
  <c r="M109" i="57"/>
  <c r="K15" i="56"/>
  <c r="K13" i="56"/>
  <c r="K12" i="56"/>
  <c r="K11" i="56"/>
  <c r="M17" i="57"/>
  <c r="M18" i="57"/>
  <c r="M14" i="57"/>
  <c r="M12" i="57"/>
  <c r="M11" i="57"/>
  <c r="C123" i="57"/>
  <c r="C125" i="57"/>
  <c r="C129" i="57"/>
  <c r="M10" i="57"/>
  <c r="M13" i="57"/>
  <c r="J18" i="57"/>
  <c r="L11" i="57"/>
  <c r="L18" i="57"/>
  <c r="K114" i="56"/>
  <c r="M114" i="56"/>
  <c r="I114" i="56"/>
  <c r="H114" i="56"/>
  <c r="G114" i="56"/>
  <c r="F114" i="56"/>
  <c r="E114" i="56"/>
  <c r="D114" i="56"/>
  <c r="C114" i="56"/>
  <c r="J112" i="56"/>
  <c r="L112" i="56"/>
  <c r="L111" i="56"/>
  <c r="J111" i="56"/>
  <c r="J110" i="56"/>
  <c r="L110" i="56"/>
  <c r="J109" i="56"/>
  <c r="L109" i="56"/>
  <c r="J108" i="56"/>
  <c r="L108" i="56"/>
  <c r="L105" i="56"/>
  <c r="J105" i="56"/>
  <c r="J104" i="56"/>
  <c r="L104" i="56"/>
  <c r="J103" i="56"/>
  <c r="L103" i="56"/>
  <c r="L102" i="56"/>
  <c r="J102" i="56"/>
  <c r="L101" i="56"/>
  <c r="J101" i="56"/>
  <c r="J100" i="56"/>
  <c r="L100" i="56"/>
  <c r="J97" i="56"/>
  <c r="L97" i="56"/>
  <c r="J96" i="56"/>
  <c r="L96" i="56"/>
  <c r="L95" i="56"/>
  <c r="J95" i="56"/>
  <c r="J94" i="56"/>
  <c r="L94" i="56"/>
  <c r="J93" i="56"/>
  <c r="L93" i="56"/>
  <c r="J92" i="56"/>
  <c r="L92" i="56"/>
  <c r="L91" i="56"/>
  <c r="J91" i="56"/>
  <c r="J90" i="56"/>
  <c r="L90" i="56"/>
  <c r="J89" i="56"/>
  <c r="L89" i="56"/>
  <c r="J88" i="56"/>
  <c r="L88" i="56"/>
  <c r="L87" i="56"/>
  <c r="J87" i="56"/>
  <c r="J86" i="56"/>
  <c r="L86" i="56"/>
  <c r="J85" i="56"/>
  <c r="L85" i="56"/>
  <c r="J84" i="56"/>
  <c r="L84" i="56"/>
  <c r="L83" i="56"/>
  <c r="J83" i="56"/>
  <c r="J82" i="56"/>
  <c r="L82" i="56"/>
  <c r="J81" i="56"/>
  <c r="L81" i="56"/>
  <c r="L80" i="56"/>
  <c r="J80" i="56"/>
  <c r="L79" i="56"/>
  <c r="J79" i="56"/>
  <c r="J78" i="56"/>
  <c r="L78" i="56"/>
  <c r="J77" i="56"/>
  <c r="L77" i="56"/>
  <c r="L76" i="56"/>
  <c r="J76" i="56"/>
  <c r="L75" i="56"/>
  <c r="J75" i="56"/>
  <c r="J74" i="56"/>
  <c r="L74" i="56"/>
  <c r="J73" i="56"/>
  <c r="L73" i="56"/>
  <c r="L72" i="56"/>
  <c r="J72" i="56"/>
  <c r="L69" i="56"/>
  <c r="J69" i="56"/>
  <c r="J68" i="56"/>
  <c r="L68" i="56"/>
  <c r="J67" i="56"/>
  <c r="L67" i="56"/>
  <c r="L66" i="56"/>
  <c r="J66" i="56"/>
  <c r="L65" i="56"/>
  <c r="J65" i="56"/>
  <c r="J64" i="56"/>
  <c r="L64" i="56"/>
  <c r="J63" i="56"/>
  <c r="L63" i="56"/>
  <c r="L62" i="56"/>
  <c r="J62" i="56"/>
  <c r="L61" i="56"/>
  <c r="J61" i="56"/>
  <c r="J60" i="56"/>
  <c r="L60" i="56"/>
  <c r="J59" i="56"/>
  <c r="L59" i="56"/>
  <c r="L58" i="56"/>
  <c r="J58" i="56"/>
  <c r="L57" i="56"/>
  <c r="J57" i="56"/>
  <c r="J56" i="56"/>
  <c r="L56" i="56"/>
  <c r="J55" i="56"/>
  <c r="L55" i="56"/>
  <c r="L54" i="56"/>
  <c r="J54" i="56"/>
  <c r="L53" i="56"/>
  <c r="J53" i="56"/>
  <c r="J52" i="56"/>
  <c r="L52" i="56"/>
  <c r="J51" i="56"/>
  <c r="L51" i="56"/>
  <c r="L50" i="56"/>
  <c r="J50" i="56"/>
  <c r="L49" i="56"/>
  <c r="J49" i="56"/>
  <c r="J48" i="56"/>
  <c r="L48" i="56"/>
  <c r="J47" i="56"/>
  <c r="L47" i="56"/>
  <c r="L46" i="56"/>
  <c r="J46" i="56"/>
  <c r="L45" i="56"/>
  <c r="J45" i="56"/>
  <c r="J44" i="56"/>
  <c r="L44" i="56"/>
  <c r="J43" i="56"/>
  <c r="L43" i="56"/>
  <c r="L42" i="56"/>
  <c r="J42" i="56"/>
  <c r="L41" i="56"/>
  <c r="J41" i="56"/>
  <c r="J40" i="56"/>
  <c r="L40" i="56"/>
  <c r="J39" i="56"/>
  <c r="L39" i="56"/>
  <c r="L38" i="56"/>
  <c r="J38" i="56"/>
  <c r="L37" i="56"/>
  <c r="J37" i="56"/>
  <c r="J36" i="56"/>
  <c r="L36" i="56"/>
  <c r="J33" i="56"/>
  <c r="L33" i="56"/>
  <c r="L32" i="56"/>
  <c r="J32" i="56"/>
  <c r="L31" i="56"/>
  <c r="J31" i="56"/>
  <c r="J30" i="56"/>
  <c r="L30" i="56"/>
  <c r="J29" i="56"/>
  <c r="L29" i="56"/>
  <c r="L28" i="56"/>
  <c r="J28" i="56"/>
  <c r="L27" i="56"/>
  <c r="J27" i="56"/>
  <c r="J26" i="56"/>
  <c r="L26" i="56"/>
  <c r="J25" i="56"/>
  <c r="L25" i="56"/>
  <c r="L24" i="56"/>
  <c r="J24" i="56"/>
  <c r="L23" i="56"/>
  <c r="J23" i="56"/>
  <c r="J22" i="56"/>
  <c r="L22" i="56"/>
  <c r="I18" i="56"/>
  <c r="G18" i="56"/>
  <c r="F18" i="56"/>
  <c r="E18" i="56"/>
  <c r="D18" i="56"/>
  <c r="L17" i="56"/>
  <c r="J17" i="56"/>
  <c r="J16" i="56"/>
  <c r="L16" i="56"/>
  <c r="L15" i="56"/>
  <c r="J15" i="56"/>
  <c r="J14" i="56"/>
  <c r="L14" i="56"/>
  <c r="J13" i="56"/>
  <c r="L13" i="56"/>
  <c r="C13" i="56"/>
  <c r="L12" i="56"/>
  <c r="J12" i="56"/>
  <c r="J11" i="56"/>
  <c r="C11" i="56"/>
  <c r="C18" i="56"/>
  <c r="L10" i="56"/>
  <c r="J10" i="56"/>
  <c r="M57" i="56"/>
  <c r="M37" i="56"/>
  <c r="M75" i="56"/>
  <c r="M27" i="56"/>
  <c r="M49" i="56"/>
  <c r="M84" i="56"/>
  <c r="M112" i="56"/>
  <c r="M31" i="56"/>
  <c r="M69" i="56"/>
  <c r="M92" i="56"/>
  <c r="M102" i="56"/>
  <c r="M23" i="56"/>
  <c r="M41" i="56"/>
  <c r="M53" i="56"/>
  <c r="M65" i="56"/>
  <c r="M83" i="56"/>
  <c r="M91" i="56"/>
  <c r="M108" i="56"/>
  <c r="M45" i="56"/>
  <c r="M61" i="56"/>
  <c r="M79" i="56"/>
  <c r="M24" i="56"/>
  <c r="M28" i="56"/>
  <c r="M32" i="56"/>
  <c r="M38" i="56"/>
  <c r="M42" i="56"/>
  <c r="M46" i="56"/>
  <c r="M50" i="56"/>
  <c r="M54" i="56"/>
  <c r="M58" i="56"/>
  <c r="M62" i="56"/>
  <c r="M66" i="56"/>
  <c r="M72" i="56"/>
  <c r="M76" i="56"/>
  <c r="M80" i="56"/>
  <c r="M87" i="56"/>
  <c r="M96" i="56"/>
  <c r="M88" i="56"/>
  <c r="M95" i="56"/>
  <c r="L114" i="56"/>
  <c r="J18" i="56"/>
  <c r="J114" i="56"/>
  <c r="L11" i="56"/>
  <c r="L18" i="56"/>
  <c r="K18" i="56"/>
  <c r="C124" i="56"/>
  <c r="M22" i="56"/>
  <c r="M26" i="56"/>
  <c r="M30" i="56"/>
  <c r="M36" i="56"/>
  <c r="M40" i="56"/>
  <c r="M44" i="56"/>
  <c r="M48" i="56"/>
  <c r="M52" i="56"/>
  <c r="M56" i="56"/>
  <c r="M60" i="56"/>
  <c r="M64" i="56"/>
  <c r="M68" i="56"/>
  <c r="M74" i="56"/>
  <c r="M78" i="56"/>
  <c r="M82" i="56"/>
  <c r="M86" i="56"/>
  <c r="M90" i="56"/>
  <c r="M94" i="56"/>
  <c r="M100" i="56"/>
  <c r="M104" i="56"/>
  <c r="M110" i="56"/>
  <c r="M101" i="56"/>
  <c r="M105" i="56"/>
  <c r="M111" i="56"/>
  <c r="M25" i="56"/>
  <c r="M29" i="56"/>
  <c r="M33" i="56"/>
  <c r="M39" i="56"/>
  <c r="M43" i="56"/>
  <c r="M47" i="56"/>
  <c r="M51" i="56"/>
  <c r="M55" i="56"/>
  <c r="M59" i="56"/>
  <c r="M63" i="56"/>
  <c r="M67" i="56"/>
  <c r="M73" i="56"/>
  <c r="M77" i="56"/>
  <c r="M81" i="56"/>
  <c r="M85" i="56"/>
  <c r="M89" i="56"/>
  <c r="M93" i="56"/>
  <c r="M97" i="56"/>
  <c r="M103" i="56"/>
  <c r="M109" i="56"/>
  <c r="K13" i="55"/>
  <c r="M10" i="56"/>
  <c r="C123" i="56"/>
  <c r="C125" i="56"/>
  <c r="C129" i="56"/>
  <c r="M14" i="56"/>
  <c r="M17" i="56"/>
  <c r="M18" i="56"/>
  <c r="M13" i="56"/>
  <c r="M12" i="56"/>
  <c r="M11" i="56"/>
  <c r="K12" i="55"/>
  <c r="K11" i="55"/>
  <c r="K114" i="55"/>
  <c r="M110" i="55"/>
  <c r="I114" i="55"/>
  <c r="H114" i="55"/>
  <c r="G114" i="55"/>
  <c r="F114" i="55"/>
  <c r="E114" i="55"/>
  <c r="D114" i="55"/>
  <c r="C114" i="55"/>
  <c r="L112" i="55"/>
  <c r="J112" i="55"/>
  <c r="J111" i="55"/>
  <c r="L111" i="55"/>
  <c r="L110" i="55"/>
  <c r="J110" i="55"/>
  <c r="J109" i="55"/>
  <c r="L109" i="55"/>
  <c r="L108" i="55"/>
  <c r="J108" i="55"/>
  <c r="J105" i="55"/>
  <c r="L105" i="55"/>
  <c r="L104" i="55"/>
  <c r="J104" i="55"/>
  <c r="J103" i="55"/>
  <c r="L103" i="55"/>
  <c r="L102" i="55"/>
  <c r="J102" i="55"/>
  <c r="J101" i="55"/>
  <c r="L101" i="55"/>
  <c r="L100" i="55"/>
  <c r="J100" i="55"/>
  <c r="J97" i="55"/>
  <c r="L97" i="55"/>
  <c r="L96" i="55"/>
  <c r="J96" i="55"/>
  <c r="J95" i="55"/>
  <c r="L95" i="55"/>
  <c r="L94" i="55"/>
  <c r="J94" i="55"/>
  <c r="J93" i="55"/>
  <c r="L93" i="55"/>
  <c r="L92" i="55"/>
  <c r="J92" i="55"/>
  <c r="J91" i="55"/>
  <c r="L91" i="55"/>
  <c r="L90" i="55"/>
  <c r="J90" i="55"/>
  <c r="J89" i="55"/>
  <c r="L89" i="55"/>
  <c r="L88" i="55"/>
  <c r="J88" i="55"/>
  <c r="J87" i="55"/>
  <c r="L87" i="55"/>
  <c r="L86" i="55"/>
  <c r="J86" i="55"/>
  <c r="J85" i="55"/>
  <c r="L85" i="55"/>
  <c r="L84" i="55"/>
  <c r="J84" i="55"/>
  <c r="J83" i="55"/>
  <c r="L83" i="55"/>
  <c r="L82" i="55"/>
  <c r="J82" i="55"/>
  <c r="J81" i="55"/>
  <c r="L81" i="55"/>
  <c r="L80" i="55"/>
  <c r="J80" i="55"/>
  <c r="J79" i="55"/>
  <c r="L79" i="55"/>
  <c r="L78" i="55"/>
  <c r="J78" i="55"/>
  <c r="J77" i="55"/>
  <c r="L77" i="55"/>
  <c r="L76" i="55"/>
  <c r="J76" i="55"/>
  <c r="J75" i="55"/>
  <c r="L75" i="55"/>
  <c r="L74" i="55"/>
  <c r="J74" i="55"/>
  <c r="J73" i="55"/>
  <c r="L73" i="55"/>
  <c r="L72" i="55"/>
  <c r="J72" i="55"/>
  <c r="J69" i="55"/>
  <c r="L69" i="55"/>
  <c r="L68" i="55"/>
  <c r="J68" i="55"/>
  <c r="J67" i="55"/>
  <c r="L67" i="55"/>
  <c r="L66" i="55"/>
  <c r="J66" i="55"/>
  <c r="J65" i="55"/>
  <c r="L65" i="55"/>
  <c r="L64" i="55"/>
  <c r="J64" i="55"/>
  <c r="J63" i="55"/>
  <c r="L63" i="55"/>
  <c r="L62" i="55"/>
  <c r="J62" i="55"/>
  <c r="J61" i="55"/>
  <c r="L61" i="55"/>
  <c r="L60" i="55"/>
  <c r="J60" i="55"/>
  <c r="J59" i="55"/>
  <c r="L59" i="55"/>
  <c r="L58" i="55"/>
  <c r="J58" i="55"/>
  <c r="J57" i="55"/>
  <c r="L57" i="55"/>
  <c r="L56" i="55"/>
  <c r="J56" i="55"/>
  <c r="J55" i="55"/>
  <c r="L55" i="55"/>
  <c r="L54" i="55"/>
  <c r="J54" i="55"/>
  <c r="J53" i="55"/>
  <c r="L53" i="55"/>
  <c r="L52" i="55"/>
  <c r="J52" i="55"/>
  <c r="J51" i="55"/>
  <c r="L51" i="55"/>
  <c r="L50" i="55"/>
  <c r="J50" i="55"/>
  <c r="J49" i="55"/>
  <c r="L49" i="55"/>
  <c r="L48" i="55"/>
  <c r="J48" i="55"/>
  <c r="J47" i="55"/>
  <c r="L47" i="55"/>
  <c r="L46" i="55"/>
  <c r="J46" i="55"/>
  <c r="J45" i="55"/>
  <c r="L45" i="55"/>
  <c r="L44" i="55"/>
  <c r="J44" i="55"/>
  <c r="J43" i="55"/>
  <c r="L43" i="55"/>
  <c r="L42" i="55"/>
  <c r="J42" i="55"/>
  <c r="J41" i="55"/>
  <c r="L41" i="55"/>
  <c r="L40" i="55"/>
  <c r="J40" i="55"/>
  <c r="J39" i="55"/>
  <c r="L39" i="55"/>
  <c r="L38" i="55"/>
  <c r="J38" i="55"/>
  <c r="J37" i="55"/>
  <c r="L37" i="55"/>
  <c r="L36" i="55"/>
  <c r="J36" i="55"/>
  <c r="J33" i="55"/>
  <c r="L33" i="55"/>
  <c r="L32" i="55"/>
  <c r="J32" i="55"/>
  <c r="J31" i="55"/>
  <c r="L31" i="55"/>
  <c r="L30" i="55"/>
  <c r="J30" i="55"/>
  <c r="J29" i="55"/>
  <c r="L29" i="55"/>
  <c r="L28" i="55"/>
  <c r="J28" i="55"/>
  <c r="J27" i="55"/>
  <c r="L27" i="55"/>
  <c r="L26" i="55"/>
  <c r="J26" i="55"/>
  <c r="J25" i="55"/>
  <c r="L25" i="55"/>
  <c r="L24" i="55"/>
  <c r="J24" i="55"/>
  <c r="J23" i="55"/>
  <c r="L23" i="55"/>
  <c r="L22" i="55"/>
  <c r="J22" i="55"/>
  <c r="I18" i="55"/>
  <c r="G18" i="55"/>
  <c r="F18" i="55"/>
  <c r="E18" i="55"/>
  <c r="D18" i="55"/>
  <c r="L17" i="55"/>
  <c r="J17" i="55"/>
  <c r="J16" i="55"/>
  <c r="L16" i="55"/>
  <c r="J15" i="55"/>
  <c r="L15" i="55"/>
  <c r="L14" i="55"/>
  <c r="J14" i="55"/>
  <c r="C13" i="55"/>
  <c r="J13" i="55"/>
  <c r="L13" i="55"/>
  <c r="J12" i="55"/>
  <c r="L12" i="55"/>
  <c r="J11" i="55"/>
  <c r="L11" i="55"/>
  <c r="C11" i="55"/>
  <c r="C18" i="55"/>
  <c r="J10" i="55"/>
  <c r="J114" i="55"/>
  <c r="M26" i="55"/>
  <c r="M36" i="55"/>
  <c r="M41" i="55"/>
  <c r="M68" i="55"/>
  <c r="M75" i="55"/>
  <c r="M23" i="55"/>
  <c r="M52" i="55"/>
  <c r="M86" i="55"/>
  <c r="M91" i="55"/>
  <c r="M103" i="55"/>
  <c r="M105" i="55"/>
  <c r="M57" i="55"/>
  <c r="M31" i="55"/>
  <c r="M44" i="55"/>
  <c r="M49" i="55"/>
  <c r="M60" i="55"/>
  <c r="M65" i="55"/>
  <c r="M78" i="55"/>
  <c r="M83" i="55"/>
  <c r="M94" i="55"/>
  <c r="M112" i="55"/>
  <c r="M25" i="55"/>
  <c r="M33" i="55"/>
  <c r="M22" i="55"/>
  <c r="M27" i="55"/>
  <c r="M30" i="55"/>
  <c r="M37" i="55"/>
  <c r="M40" i="55"/>
  <c r="M45" i="55"/>
  <c r="M48" i="55"/>
  <c r="M53" i="55"/>
  <c r="M56" i="55"/>
  <c r="M61" i="55"/>
  <c r="M64" i="55"/>
  <c r="M69" i="55"/>
  <c r="M74" i="55"/>
  <c r="M79" i="55"/>
  <c r="M82" i="55"/>
  <c r="M87" i="55"/>
  <c r="M90" i="55"/>
  <c r="M95" i="55"/>
  <c r="M102" i="55"/>
  <c r="M24" i="55"/>
  <c r="M29" i="55"/>
  <c r="M32" i="55"/>
  <c r="M39" i="55"/>
  <c r="M42" i="55"/>
  <c r="M47" i="55"/>
  <c r="M50" i="55"/>
  <c r="M55" i="55"/>
  <c r="M58" i="55"/>
  <c r="M63" i="55"/>
  <c r="M66" i="55"/>
  <c r="M73" i="55"/>
  <c r="M76" i="55"/>
  <c r="M81" i="55"/>
  <c r="M84" i="55"/>
  <c r="M89" i="55"/>
  <c r="M92" i="55"/>
  <c r="M97" i="55"/>
  <c r="M101" i="55"/>
  <c r="M108" i="55"/>
  <c r="M28" i="55"/>
  <c r="M38" i="55"/>
  <c r="M43" i="55"/>
  <c r="M46" i="55"/>
  <c r="M51" i="55"/>
  <c r="M54" i="55"/>
  <c r="M59" i="55"/>
  <c r="M62" i="55"/>
  <c r="M67" i="55"/>
  <c r="M72" i="55"/>
  <c r="M77" i="55"/>
  <c r="M80" i="55"/>
  <c r="M85" i="55"/>
  <c r="M88" i="55"/>
  <c r="M93" i="55"/>
  <c r="M96" i="55"/>
  <c r="M109" i="55"/>
  <c r="M111" i="55"/>
  <c r="M114" i="55"/>
  <c r="J18" i="55"/>
  <c r="L114" i="55"/>
  <c r="L10" i="55"/>
  <c r="L18" i="55"/>
  <c r="K18" i="55"/>
  <c r="C124" i="55"/>
  <c r="M100" i="55"/>
  <c r="M104" i="55"/>
  <c r="J104" i="54"/>
  <c r="L104" i="54"/>
  <c r="J56" i="54"/>
  <c r="L56" i="54"/>
  <c r="M14" i="55"/>
  <c r="M17" i="55"/>
  <c r="M18" i="55"/>
  <c r="M10" i="55"/>
  <c r="C123" i="55"/>
  <c r="C125" i="55"/>
  <c r="C129" i="55"/>
  <c r="M13" i="55"/>
  <c r="M11" i="55"/>
  <c r="M12" i="55"/>
  <c r="K13" i="54"/>
  <c r="K12" i="54"/>
  <c r="K11" i="54"/>
  <c r="C13" i="54"/>
  <c r="C11" i="54"/>
  <c r="J23" i="54"/>
  <c r="L23" i="54"/>
  <c r="K114" i="54"/>
  <c r="I114" i="54"/>
  <c r="H114" i="54"/>
  <c r="G114" i="54"/>
  <c r="F114" i="54"/>
  <c r="E114" i="54"/>
  <c r="D114" i="54"/>
  <c r="C114" i="54"/>
  <c r="J112" i="54"/>
  <c r="L112" i="54"/>
  <c r="J111" i="54"/>
  <c r="L111" i="54"/>
  <c r="J110" i="54"/>
  <c r="L110" i="54"/>
  <c r="J109" i="54"/>
  <c r="L109" i="54"/>
  <c r="J108" i="54"/>
  <c r="L108" i="54"/>
  <c r="J105" i="54"/>
  <c r="L105" i="54"/>
  <c r="J103" i="54"/>
  <c r="L103" i="54"/>
  <c r="J102" i="54"/>
  <c r="L102" i="54"/>
  <c r="J101" i="54"/>
  <c r="L101" i="54"/>
  <c r="J100" i="54"/>
  <c r="L100" i="54"/>
  <c r="J97" i="54"/>
  <c r="L97" i="54"/>
  <c r="J96" i="54"/>
  <c r="L96" i="54"/>
  <c r="J95" i="54"/>
  <c r="L95" i="54"/>
  <c r="J94" i="54"/>
  <c r="L94" i="54"/>
  <c r="J93" i="54"/>
  <c r="L93" i="54"/>
  <c r="J92" i="54"/>
  <c r="L92" i="54"/>
  <c r="J91" i="54"/>
  <c r="L91" i="54"/>
  <c r="J90" i="54"/>
  <c r="L90" i="54"/>
  <c r="J89" i="54"/>
  <c r="L89" i="54"/>
  <c r="J88" i="54"/>
  <c r="L88" i="54"/>
  <c r="J87" i="54"/>
  <c r="L87" i="54"/>
  <c r="J86" i="54"/>
  <c r="L86" i="54"/>
  <c r="J85" i="54"/>
  <c r="L85" i="54"/>
  <c r="J84" i="54"/>
  <c r="L84" i="54"/>
  <c r="J83" i="54"/>
  <c r="L83" i="54"/>
  <c r="J82" i="54"/>
  <c r="L82" i="54"/>
  <c r="J81" i="54"/>
  <c r="L81" i="54"/>
  <c r="J80" i="54"/>
  <c r="L80" i="54"/>
  <c r="J79" i="54"/>
  <c r="L79" i="54"/>
  <c r="J78" i="54"/>
  <c r="L78" i="54"/>
  <c r="J77" i="54"/>
  <c r="L77" i="54"/>
  <c r="J76" i="54"/>
  <c r="L76" i="54"/>
  <c r="J75" i="54"/>
  <c r="L75" i="54"/>
  <c r="J74" i="54"/>
  <c r="L74" i="54"/>
  <c r="J73" i="54"/>
  <c r="L73" i="54"/>
  <c r="J72" i="54"/>
  <c r="L72" i="54"/>
  <c r="J69" i="54"/>
  <c r="L69" i="54"/>
  <c r="J68" i="54"/>
  <c r="L68" i="54"/>
  <c r="J67" i="54"/>
  <c r="L67" i="54"/>
  <c r="J66" i="54"/>
  <c r="L66" i="54"/>
  <c r="J65" i="54"/>
  <c r="L65" i="54"/>
  <c r="J64" i="54"/>
  <c r="L64" i="54"/>
  <c r="J63" i="54"/>
  <c r="L63" i="54"/>
  <c r="J62" i="54"/>
  <c r="L62" i="54"/>
  <c r="J61" i="54"/>
  <c r="L61" i="54"/>
  <c r="J60" i="54"/>
  <c r="L60" i="54"/>
  <c r="J59" i="54"/>
  <c r="L59" i="54"/>
  <c r="J58" i="54"/>
  <c r="L58" i="54"/>
  <c r="J57" i="54"/>
  <c r="L57" i="54"/>
  <c r="J55" i="54"/>
  <c r="L55" i="54"/>
  <c r="J54" i="54"/>
  <c r="L54" i="54"/>
  <c r="J53" i="54"/>
  <c r="L53" i="54"/>
  <c r="J52" i="54"/>
  <c r="L52" i="54"/>
  <c r="J51" i="54"/>
  <c r="L51" i="54"/>
  <c r="J50" i="54"/>
  <c r="L50" i="54"/>
  <c r="J49" i="54"/>
  <c r="L49" i="54"/>
  <c r="J48" i="54"/>
  <c r="L48" i="54"/>
  <c r="J47" i="54"/>
  <c r="L47" i="54"/>
  <c r="J46" i="54"/>
  <c r="L46" i="54"/>
  <c r="J45" i="54"/>
  <c r="L45" i="54"/>
  <c r="J44" i="54"/>
  <c r="L44" i="54"/>
  <c r="J43" i="54"/>
  <c r="L43" i="54"/>
  <c r="J42" i="54"/>
  <c r="L42" i="54"/>
  <c r="J41" i="54"/>
  <c r="L41" i="54"/>
  <c r="J40" i="54"/>
  <c r="L40" i="54"/>
  <c r="J39" i="54"/>
  <c r="L39" i="54"/>
  <c r="J38" i="54"/>
  <c r="L38" i="54"/>
  <c r="J37" i="54"/>
  <c r="L37" i="54"/>
  <c r="J36" i="54"/>
  <c r="L36" i="54"/>
  <c r="J33" i="54"/>
  <c r="L33" i="54"/>
  <c r="J32" i="54"/>
  <c r="L32" i="54"/>
  <c r="J31" i="54"/>
  <c r="L31" i="54"/>
  <c r="J30" i="54"/>
  <c r="L30" i="54"/>
  <c r="J29" i="54"/>
  <c r="L29" i="54"/>
  <c r="J28" i="54"/>
  <c r="L28" i="54"/>
  <c r="J27" i="54"/>
  <c r="L27" i="54"/>
  <c r="J26" i="54"/>
  <c r="L26" i="54"/>
  <c r="J25" i="54"/>
  <c r="L25" i="54"/>
  <c r="J24" i="54"/>
  <c r="L24" i="54"/>
  <c r="J22" i="54"/>
  <c r="L22" i="54"/>
  <c r="I18" i="54"/>
  <c r="G18" i="54"/>
  <c r="F18" i="54"/>
  <c r="E18" i="54"/>
  <c r="D18" i="54"/>
  <c r="L17" i="54"/>
  <c r="J17" i="54"/>
  <c r="J15" i="54"/>
  <c r="L15" i="54"/>
  <c r="J16" i="54"/>
  <c r="L16" i="54"/>
  <c r="J14" i="54"/>
  <c r="L14" i="54"/>
  <c r="J13" i="54"/>
  <c r="L13" i="54"/>
  <c r="J12" i="54"/>
  <c r="L12" i="54"/>
  <c r="K18" i="54"/>
  <c r="J11" i="54"/>
  <c r="J10" i="54"/>
  <c r="L10" i="54"/>
  <c r="M104" i="54"/>
  <c r="C124" i="54"/>
  <c r="M114" i="54"/>
  <c r="M56" i="54"/>
  <c r="M47" i="54"/>
  <c r="M30" i="54"/>
  <c r="M37" i="54"/>
  <c r="M78" i="54"/>
  <c r="M25" i="54"/>
  <c r="M36" i="54"/>
  <c r="M45" i="54"/>
  <c r="M51" i="54"/>
  <c r="M89" i="54"/>
  <c r="M32" i="54"/>
  <c r="M43" i="54"/>
  <c r="M60" i="54"/>
  <c r="M80" i="54"/>
  <c r="M87" i="54"/>
  <c r="M64" i="54"/>
  <c r="M68" i="54"/>
  <c r="M85" i="54"/>
  <c r="M100" i="54"/>
  <c r="M103" i="54"/>
  <c r="M24" i="54"/>
  <c r="M26" i="54"/>
  <c r="M28" i="54"/>
  <c r="M57" i="54"/>
  <c r="M62" i="54"/>
  <c r="M75" i="54"/>
  <c r="M23" i="54"/>
  <c r="M33" i="54"/>
  <c r="M39" i="54"/>
  <c r="M46" i="54"/>
  <c r="M48" i="54"/>
  <c r="M50" i="54"/>
  <c r="M52" i="54"/>
  <c r="M54" i="54"/>
  <c r="M59" i="54"/>
  <c r="M61" i="54"/>
  <c r="M67" i="54"/>
  <c r="M69" i="54"/>
  <c r="M73" i="54"/>
  <c r="M82" i="54"/>
  <c r="M91" i="54"/>
  <c r="M93" i="54"/>
  <c r="M111" i="54"/>
  <c r="M77" i="54"/>
  <c r="M79" i="54"/>
  <c r="M86" i="54"/>
  <c r="M22" i="54"/>
  <c r="M27" i="54"/>
  <c r="M29" i="54"/>
  <c r="M31" i="54"/>
  <c r="M38" i="54"/>
  <c r="M40" i="54"/>
  <c r="M42" i="54"/>
  <c r="M44" i="54"/>
  <c r="M53" i="54"/>
  <c r="M55" i="54"/>
  <c r="M63" i="54"/>
  <c r="M65" i="54"/>
  <c r="M72" i="54"/>
  <c r="M74" i="54"/>
  <c r="M81" i="54"/>
  <c r="M83" i="54"/>
  <c r="M88" i="54"/>
  <c r="M90" i="54"/>
  <c r="M94" i="54"/>
  <c r="M97" i="54"/>
  <c r="M105" i="54"/>
  <c r="M110" i="54"/>
  <c r="M41" i="54"/>
  <c r="M49" i="54"/>
  <c r="M58" i="54"/>
  <c r="M66" i="54"/>
  <c r="M76" i="54"/>
  <c r="M84" i="54"/>
  <c r="M92" i="54"/>
  <c r="L11" i="54"/>
  <c r="L18" i="54"/>
  <c r="J18" i="54"/>
  <c r="M17" i="54"/>
  <c r="M18" i="54"/>
  <c r="M12" i="54"/>
  <c r="M10" i="54"/>
  <c r="M11" i="54"/>
  <c r="C123" i="54"/>
  <c r="M14" i="54"/>
  <c r="M13" i="54"/>
  <c r="L114" i="54"/>
  <c r="C18" i="54"/>
  <c r="M95" i="54"/>
  <c r="M101" i="54"/>
  <c r="M108" i="54"/>
  <c r="M112" i="54"/>
  <c r="J114" i="54"/>
  <c r="M96" i="54"/>
  <c r="M102" i="54"/>
  <c r="M109" i="54"/>
  <c r="C125" i="54"/>
  <c r="C129" i="54"/>
</calcChain>
</file>

<file path=xl/sharedStrings.xml><?xml version="1.0" encoding="utf-8"?>
<sst xmlns="http://schemas.openxmlformats.org/spreadsheetml/2006/main" count="1900" uniqueCount="195">
  <si>
    <t>(Cifras expresadas en quetzales)</t>
  </si>
  <si>
    <t>Presupuesto</t>
  </si>
  <si>
    <t>Ejecutado</t>
  </si>
  <si>
    <t>Autorizado</t>
  </si>
  <si>
    <t>Vigente</t>
  </si>
  <si>
    <t>No. Ren.</t>
  </si>
  <si>
    <t>TOTAL INGRESOS</t>
  </si>
  <si>
    <t>TOTAL EGRESOS</t>
  </si>
  <si>
    <t>RESUMEN</t>
  </si>
  <si>
    <t>SERVICIOS  PERSONALES.</t>
  </si>
  <si>
    <t>SERVICIOS  NO  PERSONALES.</t>
  </si>
  <si>
    <t>MATERIALES Y SUMINISTROS.</t>
  </si>
  <si>
    <t>TRANSFERENCIAS CORRIENTES.</t>
  </si>
  <si>
    <t>011</t>
  </si>
  <si>
    <t>015</t>
  </si>
  <si>
    <t>051</t>
  </si>
  <si>
    <t>052</t>
  </si>
  <si>
    <t>071</t>
  </si>
  <si>
    <t>072</t>
  </si>
  <si>
    <t>073</t>
  </si>
  <si>
    <t>041</t>
  </si>
  <si>
    <t>Servicios Extraordinarios Personal Permanente</t>
  </si>
  <si>
    <t>Fletes</t>
  </si>
  <si>
    <t>Alimentos para Personas</t>
  </si>
  <si>
    <t>Otros Alimentos y Productos Agropecuarios</t>
  </si>
  <si>
    <t>Accesorios y Repuestos en General</t>
  </si>
  <si>
    <t>11.9.90</t>
  </si>
  <si>
    <t xml:space="preserve">Disponible  o </t>
  </si>
  <si>
    <t>Pend. Recibir</t>
  </si>
  <si>
    <t>Porcen-</t>
  </si>
  <si>
    <t>taje</t>
  </si>
  <si>
    <t>014</t>
  </si>
  <si>
    <t>Complemento por Calidad Profesional al Personal P.</t>
  </si>
  <si>
    <t>Arrendamiento de Medios de Transporte</t>
  </si>
  <si>
    <t>Impuestos, Derechos y Tasas</t>
  </si>
  <si>
    <t>ASOCIACIÓN DEPORTIVA NACIONAL DE TIRO CON ARMAS DE CAZA</t>
  </si>
  <si>
    <t xml:space="preserve">DESCRIPCIÓN </t>
  </si>
  <si>
    <t>Llantas y Neumáticos</t>
  </si>
  <si>
    <t>Complemento Específico al Personal Permanente</t>
  </si>
  <si>
    <t>Energía Eléctrica</t>
  </si>
  <si>
    <t>Mantenimiento y Rep. Equipos Educac. y Recreativos</t>
  </si>
  <si>
    <t>Mantenimiento y Reparación de Instalaciones</t>
  </si>
  <si>
    <t>Servicios de Informática y Sistemas Computarizados</t>
  </si>
  <si>
    <t>Productos de Papel o Cartón</t>
  </si>
  <si>
    <t>Productos de Artes Gráficas</t>
  </si>
  <si>
    <t>Libros, Revistas y Periódicos</t>
  </si>
  <si>
    <t>Artículos de Caucho</t>
  </si>
  <si>
    <t>Estructuras Metálicas Acabadas</t>
  </si>
  <si>
    <t>Telefonía</t>
  </si>
  <si>
    <t>Otros Ingresos No Tributarios</t>
  </si>
  <si>
    <t>Publicidad y Propaganda</t>
  </si>
  <si>
    <t>Viáticos en el Exterior</t>
  </si>
  <si>
    <t>Viáticos en el  Interior</t>
  </si>
  <si>
    <t>Mantenimiento y Reparación de Equipo de Oficina</t>
  </si>
  <si>
    <t>Mantenimiento y Reparación de Equipo de Cómputo</t>
  </si>
  <si>
    <t>Otros Servicios no Personales</t>
  </si>
  <si>
    <t>Servicios Médicos y Sanitarios</t>
  </si>
  <si>
    <t>Acabados Textiles</t>
  </si>
  <si>
    <t>Papel de Escritorio</t>
  </si>
  <si>
    <t>Combustibles y Lubricantes</t>
  </si>
  <si>
    <t>Productos Medicinales y Farmacéuticos</t>
  </si>
  <si>
    <t>Productos Plásticos, Nylon, Vinil y PVC</t>
  </si>
  <si>
    <t>Otros Productos Químicos y Conexos</t>
  </si>
  <si>
    <t>Productos de Arcilla</t>
  </si>
  <si>
    <t>Productos de Metal</t>
  </si>
  <si>
    <t>Útiles de Oficina</t>
  </si>
  <si>
    <t>Útiles de Limpieza y Productos Sanitarios</t>
  </si>
  <si>
    <t>Útiles Deportivos y Recreativos</t>
  </si>
  <si>
    <t>Útiles, Accesorios y Materiales Eléctricos</t>
  </si>
  <si>
    <t>Otros Materiales y Suministros</t>
  </si>
  <si>
    <t>Prendas de Vestir</t>
  </si>
  <si>
    <t>Transporte de Personas</t>
  </si>
  <si>
    <t>Indemnización al Personal</t>
  </si>
  <si>
    <t>Vacaciones Pagadas</t>
  </si>
  <si>
    <t>Otras transferencias a Personas</t>
  </si>
  <si>
    <t>Transferencias a Entidades Descent. y Autónomas</t>
  </si>
  <si>
    <t>Ingresos Percibidos</t>
  </si>
  <si>
    <t>Aguinaldo</t>
  </si>
  <si>
    <t>Bono Vacacional</t>
  </si>
  <si>
    <t>Personal Permanente</t>
  </si>
  <si>
    <t>Bonificación Anual Bono 14</t>
  </si>
  <si>
    <t>Impresión, Encuadernación y Reproducción</t>
  </si>
  <si>
    <t>Compensación por Kilómetro Recorrido</t>
  </si>
  <si>
    <t>Equipo de Oficina</t>
  </si>
  <si>
    <t>Equipo de Cómputo</t>
  </si>
  <si>
    <t>Otras Máquinas y Equipos</t>
  </si>
  <si>
    <t>Tintes, Pinturas y Colorantes</t>
  </si>
  <si>
    <t>Egresos Ejecutados</t>
  </si>
  <si>
    <t>035</t>
  </si>
  <si>
    <t>Retribución a Destajo</t>
  </si>
  <si>
    <t>Otros Viáticos y Gastos Conexos</t>
  </si>
  <si>
    <t>Derechos Bienes Intangibles</t>
  </si>
  <si>
    <t>Mantenimiento de Medios de Transporte</t>
  </si>
  <si>
    <t>Servicios Jurídicos</t>
  </si>
  <si>
    <t>Servicios Económicos Contables y Auditoría</t>
  </si>
  <si>
    <t>Servicios de Capacitación</t>
  </si>
  <si>
    <t>Servicios por Actuaciones Artisticas y Deportivas</t>
  </si>
  <si>
    <t>Servicios de Ingenieria y Arquitectura</t>
  </si>
  <si>
    <t>Otros Estudios y Servicios</t>
  </si>
  <si>
    <t>Primas y Seguros</t>
  </si>
  <si>
    <t>Servicio de Atención y Protocolo</t>
  </si>
  <si>
    <t>Útiles de Cocina y Comedor</t>
  </si>
  <si>
    <t>EGRESOS</t>
  </si>
  <si>
    <t>INGRESOS</t>
  </si>
  <si>
    <t>Saldo de Caja Ingresos Propios</t>
  </si>
  <si>
    <t>Transferencias a Organismos  Internacionales</t>
  </si>
  <si>
    <t>EJECUCIÓN PRESUPUESTARIA</t>
  </si>
  <si>
    <t>Resultado del Ejercicio</t>
  </si>
  <si>
    <t>Ejecución Presupuestaria</t>
  </si>
  <si>
    <t>Correos y Telégrafos</t>
  </si>
  <si>
    <t>Cuota Patronal IGSS</t>
  </si>
  <si>
    <t>Aporte Patronal INTECAP</t>
  </si>
  <si>
    <t>Almacenaje</t>
  </si>
  <si>
    <t>Materiales y Equipos Diversos  (Munic)</t>
  </si>
  <si>
    <t>022</t>
  </si>
  <si>
    <t>Personal por contrato</t>
  </si>
  <si>
    <t>027</t>
  </si>
  <si>
    <t>Complementos específicos al personal temporal</t>
  </si>
  <si>
    <t xml:space="preserve">Arrendamiento de Instalaciones </t>
  </si>
  <si>
    <t xml:space="preserve">Equipo Medico Sanitario </t>
  </si>
  <si>
    <t>Equipo Educativo,Cultural y Recreativo (Escopetas)</t>
  </si>
  <si>
    <t>Aumento</t>
  </si>
  <si>
    <t>Disminución</t>
  </si>
  <si>
    <t>COORDINADORA ADMINISTRATIVA FINANCIERA</t>
  </si>
  <si>
    <t>DR. PABLO MANUEL DUARTE SAENZ DE TEJADA</t>
  </si>
  <si>
    <t>PRESIDENTE</t>
  </si>
  <si>
    <t xml:space="preserve">TESORERO                       </t>
  </si>
  <si>
    <t>SRA. VIVIAN CAROLINA GARCIA MORALES</t>
  </si>
  <si>
    <t>Modificación I</t>
  </si>
  <si>
    <t>PROPIEDAD, PLANTA, EQUIPO E INTANGIBLES.</t>
  </si>
  <si>
    <t>Modificación II</t>
  </si>
  <si>
    <t>Modificación III</t>
  </si>
  <si>
    <t>DEL 01 DE ENERO AL 31 DE ENERO DE 2016</t>
  </si>
  <si>
    <t xml:space="preserve">Rentas de la Propiedad, Intereses </t>
  </si>
  <si>
    <t>CDAG Aporte por Asignaciones período 2016</t>
  </si>
  <si>
    <t>SALDO EN CAJA AL 31 DE ENERO DE 2016</t>
  </si>
  <si>
    <t>Saldo en Caja al 31 de Diciembre de 2015</t>
  </si>
  <si>
    <t>Guatemala, 31 de Enero de 2016</t>
  </si>
  <si>
    <t>SR.  JOSÉ LUIS DE LA ROCA DÍAZ</t>
  </si>
  <si>
    <t>Estudios, investigaciones y proyectos de factibilidad</t>
  </si>
  <si>
    <t>Construcciones de bienes nacionales de uso no común</t>
  </si>
  <si>
    <t>16.2.20-01</t>
  </si>
  <si>
    <t>16.2.20-02</t>
  </si>
  <si>
    <t>16.2.20-03</t>
  </si>
  <si>
    <t>16.2.20-04</t>
  </si>
  <si>
    <t>CDAG Aporte Extraordinario Juegos Nacionales</t>
  </si>
  <si>
    <t xml:space="preserve">CDAG Aporte Extraordinario </t>
  </si>
  <si>
    <t>COG   Aporte Período 2016</t>
  </si>
  <si>
    <t>Gastos bancarios, comisiones y otros gastos</t>
  </si>
  <si>
    <t>DEL 01 DE ENERO AL 29 DE FEBRERO DE 2016</t>
  </si>
  <si>
    <t>Guatemala, 29 de Febrero de 2016</t>
  </si>
  <si>
    <t>SALDO EN CAJA AL 29 DE FEBRERO DE 2016</t>
  </si>
  <si>
    <t>DEL 01 DE ENERO AL 31 DE MARZO DE 2016</t>
  </si>
  <si>
    <t>Guatemala, 31 de marzo de 2016</t>
  </si>
  <si>
    <t>DEL 01 DE ENERO AL 30 DE ABRIL DE 2016</t>
  </si>
  <si>
    <t>Divulgación e información</t>
  </si>
  <si>
    <t>SALDO EN CAJA AL 31 DE MARZO DE 2016</t>
  </si>
  <si>
    <t>SALDO EN CAJA AL 30 DE ABRIL DE 2016</t>
  </si>
  <si>
    <t>Guatemala, 30 de Abril de 2016</t>
  </si>
  <si>
    <t>DEL 01 DE ENERO AL 31 DE MAYO DE 2016</t>
  </si>
  <si>
    <t>SALDO EN CAJA AL 31 DE MAYO DE 2016</t>
  </si>
  <si>
    <t>Guatemala, 31 de Mayo de 2016</t>
  </si>
  <si>
    <t>DEL 01 DE ENERO AL 30 DE JUNIO DE 2016</t>
  </si>
  <si>
    <t>Guatemala, 30 de Junio de 2016</t>
  </si>
  <si>
    <t>SALDO EN CAJA AL 30 DE JUNIO DE 2016</t>
  </si>
  <si>
    <t>DEL 01 DE ENERO AL 31 DE JULIO DE 2016</t>
  </si>
  <si>
    <t>SALDO EN CAJA AL 31 DE JULIO DE 2016</t>
  </si>
  <si>
    <t>Guatemala, 31 de Julio de 2016</t>
  </si>
  <si>
    <t>Guatemala, 31 de Agosto de 2016</t>
  </si>
  <si>
    <t>DEL 01 DE ENERO AL 31 DE AGOSTO DE 2016</t>
  </si>
  <si>
    <t>Rentas Consignadas</t>
  </si>
  <si>
    <t>Descuento de Fianza de Fidelidad sobre sueldos de agosto</t>
  </si>
  <si>
    <t xml:space="preserve">IGSS Cuota Laboral, retenido sobre sueldo mes de agosto </t>
  </si>
  <si>
    <t>Ret. ISR Opcional Simp., ISR Rentas Trab., ISR e IVA Fact. Esp.</t>
  </si>
  <si>
    <t>SALDO EN CAJA AL 31 DE AGOSTO DE 2016</t>
  </si>
  <si>
    <t>DEL 01 DE ENERO AL 30 DE SEPTIEMBRE DE 2016</t>
  </si>
  <si>
    <t>SALDO EN CAJA AL 30 DE SEPTIEMBRE DE 2016</t>
  </si>
  <si>
    <t>Guatemala, 30 de Septiembre de 2016</t>
  </si>
  <si>
    <t>IGSS Cuota Laboral, retenido sobre sueldos de septiembre</t>
  </si>
  <si>
    <t>Descuento de Fianza de Fidelidad sobre sueldos septiembre</t>
  </si>
  <si>
    <t xml:space="preserve">Útiles de Cocina y Comedor </t>
  </si>
  <si>
    <t>DEL 01 DE ENERO AL 31 DE OCTUBRE DE 2016</t>
  </si>
  <si>
    <t>SALDO EN CAJA AL 31 DE OCTUBRE DE 2016</t>
  </si>
  <si>
    <t>Guatemala, 31 de Octubre de 2016</t>
  </si>
  <si>
    <t>IGSS Cuota Laboral Retenido sobre sueldos del mes</t>
  </si>
  <si>
    <t xml:space="preserve">Descuento de Fianza de Fidelidad sobre sueldos </t>
  </si>
  <si>
    <t>ISR Retenido sobre rentas del trabajo y act. lucrativas</t>
  </si>
  <si>
    <t>DEL 01 DE ENERO AL 30 DE NOVIEMBRE DE 2016</t>
  </si>
  <si>
    <t>SALDO EN CAJA AL 30 DE NOVIEMBRE DE 2016</t>
  </si>
  <si>
    <t>Guatemala, 30 de Noviembre de 2016</t>
  </si>
  <si>
    <t>Productos de loza y porcelana</t>
  </si>
  <si>
    <t>Modificación IV</t>
  </si>
  <si>
    <t>DEL 01 DE ENERO AL 31 DE DICIEMBRE DE 2016</t>
  </si>
  <si>
    <t>SALDO EN CAJA AL 31 DE DICIEMBRE DE 2016</t>
  </si>
  <si>
    <t>Guatemala,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</si>
</sst>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mmmm\ yy"/>
    <numFmt numFmtId="166" formatCode="#,##0.00\ _$;[Red]\-#,##0.00\ _$"/>
    <numFmt numFmtId="167" formatCode="#,##0.00_ ;\-#,##0.00\ "/>
  </numFmts>
  <fonts count="28">
    <font>
      <sz val="10"/>
      <name val="Arial"/>
    </font>
    <font>
      <sz val="10"/>
      <name val="Arial"/>
      <family val="2"/>
    </font>
    <font>
      <b/>
      <sz val="14"/>
      <name val="Conga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i/>
      <sz val="14"/>
      <name val="Arial"/>
      <family val="2"/>
    </font>
    <font>
      <i/>
      <sz val="14"/>
      <color indexed="8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u/>
      <sz val="14"/>
      <name val="Arial"/>
      <family val="2"/>
    </font>
    <font>
      <b/>
      <sz val="12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i/>
      <sz val="14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indexed="8"/>
      <name val="Arial"/>
      <family val="2"/>
    </font>
    <font>
      <sz val="14"/>
      <color rgb="FFFF0000"/>
      <name val="Arial"/>
      <family val="2"/>
    </font>
    <font>
      <sz val="11"/>
      <name val="Arial"/>
      <family val="2"/>
    </font>
    <font>
      <b/>
      <sz val="12"/>
      <name val="Conga"/>
    </font>
    <font>
      <b/>
      <sz val="13"/>
      <name val="Arial"/>
      <family val="2"/>
    </font>
    <font>
      <sz val="13.5"/>
      <color indexed="8"/>
      <name val="Arial"/>
      <family val="2"/>
    </font>
    <font>
      <sz val="13"/>
      <name val="Arial"/>
      <family val="2"/>
    </font>
    <font>
      <sz val="13.5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1FF7D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165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/>
    <xf numFmtId="0" fontId="3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65" fontId="5" fillId="0" borderId="2" xfId="0" applyNumberFormat="1" applyFont="1" applyFill="1" applyBorder="1" applyAlignment="1"/>
    <xf numFmtId="165" fontId="5" fillId="0" borderId="2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 wrapText="1"/>
    </xf>
    <xf numFmtId="40" fontId="4" fillId="0" borderId="0" xfId="0" applyNumberFormat="1" applyFont="1" applyFill="1" applyBorder="1" applyAlignment="1">
      <alignment horizontal="right" wrapText="1"/>
    </xf>
    <xf numFmtId="10" fontId="4" fillId="0" borderId="0" xfId="2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right" wrapText="1"/>
    </xf>
    <xf numFmtId="4" fontId="4" fillId="0" borderId="0" xfId="0" applyNumberFormat="1" applyFont="1" applyFill="1" applyBorder="1"/>
    <xf numFmtId="0" fontId="5" fillId="0" borderId="0" xfId="0" applyFont="1" applyFill="1" applyBorder="1"/>
    <xf numFmtId="4" fontId="4" fillId="0" borderId="5" xfId="0" applyNumberFormat="1" applyFont="1" applyFill="1" applyBorder="1"/>
    <xf numFmtId="0" fontId="4" fillId="0" borderId="5" xfId="0" quotePrefix="1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64" fontId="5" fillId="0" borderId="0" xfId="1" applyFont="1" applyFill="1" applyBorder="1" applyAlignment="1">
      <alignment horizontal="right" wrapText="1"/>
    </xf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wrapText="1"/>
    </xf>
    <xf numFmtId="0" fontId="5" fillId="0" borderId="15" xfId="0" applyFont="1" applyFill="1" applyBorder="1" applyAlignment="1"/>
    <xf numFmtId="0" fontId="5" fillId="0" borderId="5" xfId="0" applyFont="1" applyFill="1" applyBorder="1"/>
    <xf numFmtId="0" fontId="5" fillId="0" borderId="16" xfId="0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right" wrapText="1"/>
    </xf>
    <xf numFmtId="0" fontId="9" fillId="0" borderId="18" xfId="0" applyFont="1" applyFill="1" applyBorder="1" applyAlignment="1">
      <alignment horizontal="centerContinuous"/>
    </xf>
    <xf numFmtId="164" fontId="11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horizontal="left"/>
    </xf>
    <xf numFmtId="0" fontId="9" fillId="0" borderId="0" xfId="0" applyFont="1" applyFill="1" applyBorder="1" applyAlignment="1">
      <alignment horizontal="centerContinuous"/>
    </xf>
    <xf numFmtId="164" fontId="9" fillId="0" borderId="19" xfId="1" applyFont="1" applyFill="1" applyBorder="1" applyAlignment="1">
      <alignment horizontal="left"/>
    </xf>
    <xf numFmtId="164" fontId="9" fillId="0" borderId="0" xfId="1" applyFont="1" applyFill="1" applyBorder="1" applyAlignment="1">
      <alignment horizontal="left"/>
    </xf>
    <xf numFmtId="164" fontId="4" fillId="0" borderId="0" xfId="1" applyFont="1" applyFill="1"/>
    <xf numFmtId="166" fontId="3" fillId="0" borderId="0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Continuous"/>
    </xf>
    <xf numFmtId="4" fontId="4" fillId="0" borderId="5" xfId="0" applyNumberFormat="1" applyFont="1" applyFill="1" applyBorder="1" applyAlignment="1">
      <alignment horizontal="right" wrapText="1"/>
    </xf>
    <xf numFmtId="166" fontId="4" fillId="0" borderId="13" xfId="0" applyNumberFormat="1" applyFont="1" applyFill="1" applyBorder="1" applyAlignment="1">
      <alignment horizontal="right" wrapText="1"/>
    </xf>
    <xf numFmtId="0" fontId="4" fillId="0" borderId="0" xfId="0" applyFont="1" applyFill="1"/>
    <xf numFmtId="0" fontId="8" fillId="0" borderId="0" xfId="0" applyFont="1" applyFill="1"/>
    <xf numFmtId="0" fontId="7" fillId="0" borderId="0" xfId="0" applyFont="1" applyFill="1"/>
    <xf numFmtId="166" fontId="17" fillId="0" borderId="0" xfId="0" applyNumberFormat="1" applyFont="1" applyFill="1" applyBorder="1" applyAlignment="1">
      <alignment horizontal="left" wrapText="1"/>
    </xf>
    <xf numFmtId="40" fontId="4" fillId="0" borderId="5" xfId="0" applyNumberFormat="1" applyFont="1" applyFill="1" applyBorder="1" applyAlignment="1">
      <alignment horizontal="right" wrapText="1"/>
    </xf>
    <xf numFmtId="40" fontId="4" fillId="0" borderId="13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4" fillId="0" borderId="4" xfId="0" applyNumberFormat="1" applyFont="1" applyFill="1" applyBorder="1"/>
    <xf numFmtId="10" fontId="4" fillId="0" borderId="5" xfId="2" applyNumberFormat="1" applyFont="1" applyFill="1" applyBorder="1" applyAlignment="1">
      <alignment horizontal="right" wrapText="1"/>
    </xf>
    <xf numFmtId="0" fontId="5" fillId="0" borderId="25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18" fillId="0" borderId="0" xfId="0" applyFont="1" applyFill="1"/>
    <xf numFmtId="10" fontId="4" fillId="0" borderId="5" xfId="2" applyNumberFormat="1" applyFont="1" applyFill="1" applyBorder="1"/>
    <xf numFmtId="164" fontId="3" fillId="0" borderId="0" xfId="0" applyNumberFormat="1" applyFont="1" applyFill="1"/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/>
    <xf numFmtId="10" fontId="4" fillId="0" borderId="4" xfId="2" applyNumberFormat="1" applyFont="1" applyFill="1" applyBorder="1"/>
    <xf numFmtId="4" fontId="4" fillId="0" borderId="4" xfId="0" applyNumberFormat="1" applyFont="1" applyFill="1" applyBorder="1" applyAlignment="1">
      <alignment horizontal="right" wrapText="1"/>
    </xf>
    <xf numFmtId="166" fontId="3" fillId="0" borderId="0" xfId="0" applyNumberFormat="1" applyFont="1" applyFill="1"/>
    <xf numFmtId="0" fontId="4" fillId="0" borderId="12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right" wrapText="1"/>
    </xf>
    <xf numFmtId="164" fontId="10" fillId="0" borderId="0" xfId="1" applyFont="1" applyFill="1" applyBorder="1" applyAlignment="1">
      <alignment horizontal="right" wrapText="1"/>
    </xf>
    <xf numFmtId="166" fontId="17" fillId="0" borderId="0" xfId="0" applyNumberFormat="1" applyFont="1" applyFill="1" applyBorder="1" applyAlignment="1">
      <alignment horizontal="right" wrapText="1"/>
    </xf>
    <xf numFmtId="0" fontId="4" fillId="0" borderId="0" xfId="0" quotePrefix="1" applyFont="1" applyFill="1" applyBorder="1" applyAlignment="1">
      <alignment horizontal="left"/>
    </xf>
    <xf numFmtId="0" fontId="15" fillId="0" borderId="0" xfId="0" applyFont="1" applyFill="1"/>
    <xf numFmtId="167" fontId="3" fillId="0" borderId="5" xfId="0" applyNumberFormat="1" applyFont="1" applyFill="1" applyBorder="1" applyAlignment="1">
      <alignment horizontal="right" wrapText="1"/>
    </xf>
    <xf numFmtId="4" fontId="19" fillId="0" borderId="5" xfId="0" applyNumberFormat="1" applyFont="1" applyFill="1" applyBorder="1"/>
    <xf numFmtId="167" fontId="4" fillId="0" borderId="5" xfId="0" applyNumberFormat="1" applyFont="1" applyFill="1" applyBorder="1" applyAlignment="1">
      <alignment horizontal="right" wrapText="1"/>
    </xf>
    <xf numFmtId="167" fontId="4" fillId="0" borderId="4" xfId="0" applyNumberFormat="1" applyFont="1" applyFill="1" applyBorder="1" applyAlignment="1">
      <alignment horizontal="right" wrapText="1"/>
    </xf>
    <xf numFmtId="166" fontId="20" fillId="0" borderId="5" xfId="0" applyNumberFormat="1" applyFont="1" applyFill="1" applyBorder="1" applyAlignment="1">
      <alignment horizontal="right" wrapText="1"/>
    </xf>
    <xf numFmtId="166" fontId="21" fillId="0" borderId="0" xfId="0" applyNumberFormat="1" applyFont="1" applyFill="1" applyBorder="1" applyAlignment="1">
      <alignment horizontal="left" wrapText="1"/>
    </xf>
    <xf numFmtId="0" fontId="5" fillId="0" borderId="5" xfId="0" applyFont="1" applyFill="1" applyBorder="1" applyAlignment="1"/>
    <xf numFmtId="0" fontId="5" fillId="0" borderId="5" xfId="0" applyFont="1" applyFill="1" applyBorder="1" applyAlignment="1">
      <alignment horizontal="center"/>
    </xf>
    <xf numFmtId="43" fontId="2" fillId="0" borderId="0" xfId="0" applyNumberFormat="1" applyFont="1" applyFill="1" applyAlignment="1">
      <alignment horizontal="centerContinuous"/>
    </xf>
    <xf numFmtId="43" fontId="3" fillId="0" borderId="5" xfId="0" applyNumberFormat="1" applyFont="1" applyFill="1" applyBorder="1" applyAlignment="1">
      <alignment horizontal="right" wrapText="1"/>
    </xf>
    <xf numFmtId="43" fontId="3" fillId="0" borderId="5" xfId="1" applyNumberFormat="1" applyFont="1" applyFill="1" applyBorder="1" applyAlignment="1">
      <alignment horizontal="right" wrapText="1"/>
    </xf>
    <xf numFmtId="43" fontId="16" fillId="0" borderId="5" xfId="0" applyNumberFormat="1" applyFont="1" applyFill="1" applyBorder="1" applyAlignment="1">
      <alignment horizontal="right" wrapText="1"/>
    </xf>
    <xf numFmtId="43" fontId="3" fillId="0" borderId="13" xfId="0" applyNumberFormat="1" applyFont="1" applyFill="1" applyBorder="1" applyAlignment="1">
      <alignment horizontal="right" wrapText="1"/>
    </xf>
    <xf numFmtId="43" fontId="9" fillId="0" borderId="0" xfId="1" applyNumberFormat="1" applyFont="1" applyFill="1" applyBorder="1" applyAlignment="1">
      <alignment horizontal="right" wrapText="1"/>
    </xf>
    <xf numFmtId="43" fontId="3" fillId="0" borderId="0" xfId="0" applyNumberFormat="1" applyFont="1" applyFill="1" applyBorder="1" applyAlignment="1">
      <alignment horizontal="right" wrapText="1"/>
    </xf>
    <xf numFmtId="43" fontId="3" fillId="0" borderId="0" xfId="0" applyNumberFormat="1" applyFont="1" applyFill="1"/>
    <xf numFmtId="43" fontId="7" fillId="0" borderId="0" xfId="0" applyNumberFormat="1" applyFont="1" applyFill="1"/>
    <xf numFmtId="165" fontId="5" fillId="0" borderId="3" xfId="0" applyNumberFormat="1" applyFont="1" applyFill="1" applyBorder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4" fillId="0" borderId="5" xfId="1" applyNumberFormat="1" applyFont="1" applyFill="1" applyBorder="1" applyAlignment="1">
      <alignment horizontal="left"/>
    </xf>
    <xf numFmtId="0" fontId="4" fillId="0" borderId="5" xfId="1" quotePrefix="1" applyNumberFormat="1" applyFont="1" applyFill="1" applyBorder="1" applyAlignment="1">
      <alignment horizontal="left"/>
    </xf>
    <xf numFmtId="164" fontId="14" fillId="0" borderId="7" xfId="1" applyFont="1" applyFill="1" applyBorder="1" applyAlignment="1">
      <alignment horizontal="right" wrapText="1"/>
    </xf>
    <xf numFmtId="4" fontId="14" fillId="0" borderId="7" xfId="0" applyNumberFormat="1" applyFont="1" applyFill="1" applyBorder="1" applyAlignment="1">
      <alignment horizontal="right" wrapText="1"/>
    </xf>
    <xf numFmtId="43" fontId="14" fillId="0" borderId="7" xfId="0" applyNumberFormat="1" applyFont="1" applyFill="1" applyBorder="1" applyAlignment="1">
      <alignment horizontal="right" wrapText="1"/>
    </xf>
    <xf numFmtId="10" fontId="14" fillId="0" borderId="7" xfId="2" applyNumberFormat="1" applyFont="1" applyFill="1" applyBorder="1" applyAlignment="1">
      <alignment horizontal="right" wrapText="1"/>
    </xf>
    <xf numFmtId="43" fontId="23" fillId="0" borderId="7" xfId="1" applyNumberFormat="1" applyFont="1" applyFill="1" applyBorder="1" applyAlignment="1">
      <alignment horizontal="right" wrapText="1"/>
    </xf>
    <xf numFmtId="10" fontId="13" fillId="0" borderId="9" xfId="2" applyNumberFormat="1" applyFont="1" applyFill="1" applyBorder="1" applyAlignment="1">
      <alignment horizontal="right" wrapText="1"/>
    </xf>
    <xf numFmtId="0" fontId="9" fillId="0" borderId="26" xfId="0" applyFont="1" applyFill="1" applyBorder="1" applyAlignment="1">
      <alignment horizontal="centerContinuous"/>
    </xf>
    <xf numFmtId="0" fontId="9" fillId="0" borderId="27" xfId="0" applyFont="1" applyFill="1" applyBorder="1" applyAlignment="1">
      <alignment horizontal="centerContinuous"/>
    </xf>
    <xf numFmtId="4" fontId="4" fillId="0" borderId="17" xfId="0" applyNumberFormat="1" applyFont="1" applyFill="1" applyBorder="1"/>
    <xf numFmtId="0" fontId="9" fillId="0" borderId="28" xfId="0" applyFont="1" applyFill="1" applyBorder="1" applyAlignment="1">
      <alignment horizontal="centerContinuous"/>
    </xf>
    <xf numFmtId="0" fontId="9" fillId="0" borderId="19" xfId="0" applyFont="1" applyFill="1" applyBorder="1" applyAlignment="1">
      <alignment horizontal="centerContinuous"/>
    </xf>
    <xf numFmtId="4" fontId="4" fillId="0" borderId="20" xfId="0" applyNumberFormat="1" applyFont="1" applyFill="1" applyBorder="1"/>
    <xf numFmtId="164" fontId="11" fillId="0" borderId="27" xfId="1" applyFont="1" applyFill="1" applyBorder="1" applyAlignment="1">
      <alignment horizontal="left" indent="2"/>
    </xf>
    <xf numFmtId="164" fontId="3" fillId="0" borderId="27" xfId="1" applyFont="1" applyFill="1" applyBorder="1" applyAlignment="1">
      <alignment horizontal="left" indent="2"/>
    </xf>
    <xf numFmtId="164" fontId="9" fillId="0" borderId="27" xfId="1" applyFont="1" applyFill="1" applyBorder="1" applyAlignment="1">
      <alignment horizontal="left" indent="2"/>
    </xf>
    <xf numFmtId="164" fontId="9" fillId="0" borderId="28" xfId="1" applyFont="1" applyFill="1" applyBorder="1" applyAlignment="1">
      <alignment horizontal="left" indent="2"/>
    </xf>
    <xf numFmtId="4" fontId="4" fillId="0" borderId="6" xfId="0" applyNumberFormat="1" applyFont="1" applyFill="1" applyBorder="1" applyAlignment="1">
      <alignment horizontal="centerContinuous"/>
    </xf>
    <xf numFmtId="4" fontId="4" fillId="0" borderId="17" xfId="0" applyNumberFormat="1" applyFont="1" applyFill="1" applyBorder="1" applyAlignment="1">
      <alignment horizontal="centerContinuous"/>
    </xf>
    <xf numFmtId="0" fontId="16" fillId="0" borderId="27" xfId="0" applyFont="1" applyFill="1" applyBorder="1" applyAlignment="1">
      <alignment horizontal="centerContinuous"/>
    </xf>
    <xf numFmtId="0" fontId="3" fillId="0" borderId="0" xfId="0" applyFont="1" applyFill="1" applyAlignment="1">
      <alignment horizontal="left" indent="6"/>
    </xf>
    <xf numFmtId="0" fontId="3" fillId="0" borderId="0" xfId="0" applyFont="1" applyFill="1" applyAlignment="1">
      <alignment horizontal="left" indent="2"/>
    </xf>
    <xf numFmtId="0" fontId="12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left" indent="6"/>
    </xf>
    <xf numFmtId="0" fontId="17" fillId="0" borderId="0" xfId="0" applyFont="1" applyFill="1" applyAlignment="1">
      <alignment horizontal="left" indent="2"/>
    </xf>
    <xf numFmtId="43" fontId="18" fillId="0" borderId="0" xfId="0" applyNumberFormat="1" applyFont="1" applyFill="1"/>
    <xf numFmtId="4" fontId="5" fillId="0" borderId="17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quotePrefix="1" applyFont="1" applyFill="1" applyBorder="1" applyAlignment="1">
      <alignment horizontal="center"/>
    </xf>
    <xf numFmtId="164" fontId="13" fillId="0" borderId="29" xfId="1" applyFont="1" applyFill="1" applyBorder="1" applyAlignment="1">
      <alignment horizontal="right" wrapText="1"/>
    </xf>
    <xf numFmtId="4" fontId="4" fillId="0" borderId="0" xfId="0" applyNumberFormat="1" applyFont="1" applyFill="1"/>
    <xf numFmtId="164" fontId="4" fillId="0" borderId="29" xfId="1" applyFont="1" applyFill="1" applyBorder="1" applyAlignment="1">
      <alignment horizontal="right" wrapText="1"/>
    </xf>
    <xf numFmtId="164" fontId="11" fillId="0" borderId="0" xfId="1" applyFont="1" applyFill="1" applyBorder="1" applyAlignment="1">
      <alignment horizontal="left" indent="2"/>
    </xf>
    <xf numFmtId="166" fontId="4" fillId="0" borderId="0" xfId="0" applyNumberFormat="1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left" wrapText="1"/>
    </xf>
    <xf numFmtId="4" fontId="4" fillId="0" borderId="0" xfId="0" applyNumberFormat="1" applyFont="1" applyBorder="1"/>
    <xf numFmtId="10" fontId="4" fillId="0" borderId="0" xfId="2" applyNumberFormat="1" applyFont="1" applyBorder="1" applyAlignment="1">
      <alignment horizontal="right" wrapText="1"/>
    </xf>
    <xf numFmtId="0" fontId="3" fillId="0" borderId="0" xfId="0" applyFont="1" applyBorder="1"/>
    <xf numFmtId="164" fontId="3" fillId="0" borderId="0" xfId="1" applyFont="1" applyFill="1" applyBorder="1" applyAlignment="1">
      <alignment horizontal="left" indent="2"/>
    </xf>
    <xf numFmtId="164" fontId="17" fillId="0" borderId="0" xfId="1" applyFont="1" applyFill="1" applyBorder="1" applyAlignment="1">
      <alignment horizontal="right" wrapText="1"/>
    </xf>
    <xf numFmtId="164" fontId="9" fillId="0" borderId="0" xfId="1" applyFont="1" applyFill="1" applyBorder="1" applyAlignment="1">
      <alignment horizontal="left" indent="2"/>
    </xf>
    <xf numFmtId="166" fontId="17" fillId="0" borderId="0" xfId="0" applyNumberFormat="1" applyFont="1" applyBorder="1" applyAlignment="1">
      <alignment horizontal="right" wrapText="1"/>
    </xf>
    <xf numFmtId="164" fontId="9" fillId="0" borderId="19" xfId="1" applyFont="1" applyFill="1" applyBorder="1" applyAlignment="1">
      <alignment horizontal="left" indent="2"/>
    </xf>
    <xf numFmtId="0" fontId="3" fillId="0" borderId="0" xfId="0" applyFont="1" applyBorder="1" applyAlignment="1"/>
    <xf numFmtId="40" fontId="4" fillId="0" borderId="0" xfId="0" applyNumberFormat="1" applyFont="1" applyFill="1" applyBorder="1" applyAlignment="1"/>
    <xf numFmtId="10" fontId="4" fillId="0" borderId="0" xfId="2" applyNumberFormat="1" applyFont="1" applyFill="1" applyBorder="1" applyAlignment="1"/>
    <xf numFmtId="10" fontId="4" fillId="0" borderId="0" xfId="2" applyNumberFormat="1" applyFont="1" applyBorder="1" applyAlignment="1"/>
    <xf numFmtId="164" fontId="3" fillId="0" borderId="0" xfId="1" applyFont="1" applyFill="1" applyBorder="1"/>
    <xf numFmtId="164" fontId="3" fillId="0" borderId="0" xfId="1" applyFont="1" applyBorder="1"/>
    <xf numFmtId="164" fontId="4" fillId="0" borderId="17" xfId="1" applyFont="1" applyFill="1" applyBorder="1"/>
    <xf numFmtId="164" fontId="5" fillId="0" borderId="17" xfId="1" applyFont="1" applyFill="1" applyBorder="1"/>
    <xf numFmtId="164" fontId="3" fillId="0" borderId="17" xfId="1" applyFont="1" applyFill="1" applyBorder="1" applyAlignment="1">
      <alignment horizontal="right" wrapText="1"/>
    </xf>
    <xf numFmtId="164" fontId="4" fillId="0" borderId="29" xfId="1" applyFont="1" applyBorder="1" applyAlignment="1">
      <alignment horizontal="right" wrapText="1"/>
    </xf>
    <xf numFmtId="164" fontId="4" fillId="0" borderId="30" xfId="1" applyFont="1" applyBorder="1" applyAlignment="1">
      <alignment horizontal="right" wrapText="1"/>
    </xf>
    <xf numFmtId="164" fontId="5" fillId="0" borderId="31" xfId="1" applyFont="1" applyBorder="1" applyAlignment="1">
      <alignment horizontal="justify" wrapText="1"/>
    </xf>
    <xf numFmtId="164" fontId="5" fillId="0" borderId="20" xfId="1" applyFont="1" applyBorder="1" applyAlignment="1">
      <alignment horizontal="right" wrapText="1"/>
    </xf>
    <xf numFmtId="0" fontId="4" fillId="0" borderId="0" xfId="0" applyFont="1" applyFill="1" applyBorder="1"/>
    <xf numFmtId="164" fontId="13" fillId="0" borderId="17" xfId="1" applyFont="1" applyFill="1" applyBorder="1"/>
    <xf numFmtId="164" fontId="25" fillId="0" borderId="17" xfId="1" applyFont="1" applyFill="1" applyBorder="1" applyAlignment="1">
      <alignment horizontal="right" wrapText="1"/>
    </xf>
    <xf numFmtId="43" fontId="24" fillId="0" borderId="5" xfId="1" applyNumberFormat="1" applyFont="1" applyFill="1" applyBorder="1" applyAlignment="1">
      <alignment horizontal="right" wrapText="1"/>
    </xf>
    <xf numFmtId="43" fontId="26" fillId="0" borderId="5" xfId="1" applyNumberFormat="1" applyFont="1" applyFill="1" applyBorder="1" applyAlignment="1">
      <alignment horizontal="right" wrapText="1"/>
    </xf>
    <xf numFmtId="43" fontId="24" fillId="0" borderId="13" xfId="1" applyNumberFormat="1" applyFont="1" applyFill="1" applyBorder="1" applyAlignment="1">
      <alignment horizontal="right" wrapText="1"/>
    </xf>
    <xf numFmtId="43" fontId="13" fillId="0" borderId="5" xfId="1" applyNumberFormat="1" applyFont="1" applyFill="1" applyBorder="1" applyAlignment="1">
      <alignment horizontal="right" wrapText="1"/>
    </xf>
    <xf numFmtId="43" fontId="14" fillId="0" borderId="7" xfId="1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Alignment="1">
      <alignment horizontal="center"/>
    </xf>
    <xf numFmtId="4" fontId="3" fillId="0" borderId="0" xfId="0" applyNumberFormat="1" applyFont="1" applyFill="1" applyBorder="1"/>
    <xf numFmtId="164" fontId="3" fillId="0" borderId="0" xfId="1" applyFont="1" applyFill="1"/>
    <xf numFmtId="4" fontId="7" fillId="0" borderId="0" xfId="0" applyNumberFormat="1" applyFont="1" applyFill="1"/>
    <xf numFmtId="0" fontId="16" fillId="0" borderId="0" xfId="0" applyFont="1" applyFill="1" applyAlignment="1">
      <alignment horizontal="center"/>
    </xf>
    <xf numFmtId="166" fontId="3" fillId="0" borderId="0" xfId="0" applyNumberFormat="1" applyFont="1" applyBorder="1" applyAlignment="1">
      <alignment horizontal="right" wrapText="1"/>
    </xf>
    <xf numFmtId="166" fontId="3" fillId="0" borderId="0" xfId="0" applyNumberFormat="1" applyFont="1" applyFill="1" applyBorder="1" applyAlignment="1">
      <alignment horizontal="right" wrapText="1"/>
    </xf>
    <xf numFmtId="10" fontId="3" fillId="0" borderId="0" xfId="2" applyNumberFormat="1" applyFont="1" applyBorder="1" applyAlignment="1"/>
    <xf numFmtId="164" fontId="25" fillId="0" borderId="17" xfId="1" applyFont="1" applyFill="1" applyBorder="1"/>
    <xf numFmtId="10" fontId="3" fillId="0" borderId="0" xfId="2" applyNumberFormat="1" applyFont="1" applyBorder="1" applyAlignment="1">
      <alignment horizontal="right" wrapText="1"/>
    </xf>
    <xf numFmtId="164" fontId="25" fillId="0" borderId="29" xfId="1" applyFont="1" applyFill="1" applyBorder="1" applyAlignment="1">
      <alignment horizontal="right" wrapText="1"/>
    </xf>
    <xf numFmtId="10" fontId="3" fillId="0" borderId="0" xfId="2" applyNumberFormat="1" applyFont="1" applyFill="1" applyBorder="1" applyAlignment="1">
      <alignment horizontal="right" wrapText="1"/>
    </xf>
    <xf numFmtId="164" fontId="23" fillId="0" borderId="17" xfId="1" applyFont="1" applyFill="1" applyBorder="1"/>
    <xf numFmtId="164" fontId="25" fillId="0" borderId="29" xfId="1" applyFont="1" applyBorder="1" applyAlignment="1">
      <alignment horizontal="right" wrapText="1"/>
    </xf>
    <xf numFmtId="164" fontId="25" fillId="0" borderId="30" xfId="1" applyFont="1" applyBorder="1" applyAlignment="1">
      <alignment horizontal="right" wrapText="1"/>
    </xf>
    <xf numFmtId="164" fontId="23" fillId="0" borderId="31" xfId="1" applyFont="1" applyBorder="1" applyAlignment="1">
      <alignment horizontal="justify" wrapText="1"/>
    </xf>
    <xf numFmtId="4" fontId="3" fillId="0" borderId="0" xfId="0" applyNumberFormat="1" applyFont="1" applyBorder="1"/>
    <xf numFmtId="40" fontId="3" fillId="0" borderId="0" xfId="0" applyNumberFormat="1" applyFont="1" applyFill="1" applyBorder="1" applyAlignment="1">
      <alignment horizontal="right" wrapText="1"/>
    </xf>
    <xf numFmtId="164" fontId="9" fillId="0" borderId="20" xfId="1" applyFont="1" applyBorder="1" applyAlignment="1">
      <alignment horizontal="right" wrapText="1"/>
    </xf>
    <xf numFmtId="4" fontId="3" fillId="0" borderId="0" xfId="0" applyNumberFormat="1" applyFont="1" applyFill="1"/>
    <xf numFmtId="0" fontId="3" fillId="0" borderId="0" xfId="0" quotePrefix="1" applyFont="1" applyFill="1" applyBorder="1" applyAlignment="1">
      <alignment horizontal="left"/>
    </xf>
    <xf numFmtId="164" fontId="27" fillId="0" borderId="0" xfId="1" applyFont="1" applyFill="1" applyBorder="1" applyAlignment="1">
      <alignment horizontal="right" wrapText="1"/>
    </xf>
    <xf numFmtId="40" fontId="3" fillId="0" borderId="0" xfId="0" applyNumberFormat="1" applyFont="1" applyFill="1" applyBorder="1" applyAlignment="1"/>
    <xf numFmtId="10" fontId="3" fillId="0" borderId="0" xfId="2" applyNumberFormat="1" applyFont="1" applyFill="1" applyBorder="1" applyAlignment="1"/>
    <xf numFmtId="0" fontId="3" fillId="0" borderId="0" xfId="0" applyFont="1" applyFill="1" applyBorder="1" applyAlignment="1"/>
    <xf numFmtId="164" fontId="25" fillId="0" borderId="30" xfId="1" applyFont="1" applyFill="1" applyBorder="1" applyAlignment="1">
      <alignment horizontal="right" wrapText="1"/>
    </xf>
    <xf numFmtId="164" fontId="23" fillId="0" borderId="31" xfId="1" applyFont="1" applyFill="1" applyBorder="1" applyAlignment="1">
      <alignment horizontal="justify" wrapText="1"/>
    </xf>
    <xf numFmtId="164" fontId="9" fillId="0" borderId="20" xfId="1" applyFont="1" applyFill="1" applyBorder="1" applyAlignment="1">
      <alignment horizontal="right" wrapText="1"/>
    </xf>
    <xf numFmtId="0" fontId="12" fillId="0" borderId="5" xfId="0" applyFont="1" applyFill="1" applyBorder="1" applyAlignment="1"/>
    <xf numFmtId="43" fontId="9" fillId="0" borderId="1" xfId="0" applyNumberFormat="1" applyFont="1" applyFill="1" applyBorder="1" applyAlignment="1">
      <alignment horizontal="center" vertical="center"/>
    </xf>
    <xf numFmtId="43" fontId="9" fillId="0" borderId="2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D03B"/>
      <color rgb="FF11FF7D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130</xdr:row>
      <xdr:rowOff>222251</xdr:rowOff>
    </xdr:to>
    <xdr:sp macro="" textlink="">
      <xdr:nvSpPr>
        <xdr:cNvPr id="2" name="1 Rectángulo"/>
        <xdr:cNvSpPr/>
      </xdr:nvSpPr>
      <xdr:spPr>
        <a:xfrm>
          <a:off x="0" y="26546175"/>
          <a:ext cx="122768" cy="25939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130</xdr:row>
      <xdr:rowOff>12700</xdr:rowOff>
    </xdr:to>
    <xdr:cxnSp macro="">
      <xdr:nvCxnSpPr>
        <xdr:cNvPr id="3" name="2 Conector recto"/>
        <xdr:cNvCxnSpPr/>
      </xdr:nvCxnSpPr>
      <xdr:spPr>
        <a:xfrm flipH="1">
          <a:off x="114300" y="26663650"/>
          <a:ext cx="12700" cy="22669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135</xdr:row>
      <xdr:rowOff>222251</xdr:rowOff>
    </xdr:to>
    <xdr:sp macro="" textlink="">
      <xdr:nvSpPr>
        <xdr:cNvPr id="2" name="1 Rectángulo"/>
        <xdr:cNvSpPr/>
      </xdr:nvSpPr>
      <xdr:spPr>
        <a:xfrm>
          <a:off x="0" y="25174575"/>
          <a:ext cx="122768" cy="38417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135</xdr:row>
      <xdr:rowOff>12700</xdr:rowOff>
    </xdr:to>
    <xdr:cxnSp macro="">
      <xdr:nvCxnSpPr>
        <xdr:cNvPr id="3" name="2 Conector recto"/>
        <xdr:cNvCxnSpPr/>
      </xdr:nvCxnSpPr>
      <xdr:spPr>
        <a:xfrm flipH="1">
          <a:off x="114300" y="25292050"/>
          <a:ext cx="12700" cy="35147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135</xdr:row>
      <xdr:rowOff>0</xdr:rowOff>
    </xdr:to>
    <xdr:sp macro="" textlink="">
      <xdr:nvSpPr>
        <xdr:cNvPr id="2" name="1 Rectángulo"/>
        <xdr:cNvSpPr/>
      </xdr:nvSpPr>
      <xdr:spPr>
        <a:xfrm>
          <a:off x="0" y="25174575"/>
          <a:ext cx="122768" cy="38417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135</xdr:row>
      <xdr:rowOff>0</xdr:rowOff>
    </xdr:to>
    <xdr:cxnSp macro="">
      <xdr:nvCxnSpPr>
        <xdr:cNvPr id="3" name="2 Conector recto"/>
        <xdr:cNvCxnSpPr/>
      </xdr:nvCxnSpPr>
      <xdr:spPr>
        <a:xfrm flipH="1">
          <a:off x="114300" y="25292050"/>
          <a:ext cx="12700" cy="35147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135</xdr:row>
      <xdr:rowOff>0</xdr:rowOff>
    </xdr:to>
    <xdr:sp macro="" textlink="">
      <xdr:nvSpPr>
        <xdr:cNvPr id="2" name="1 Rectángulo"/>
        <xdr:cNvSpPr/>
      </xdr:nvSpPr>
      <xdr:spPr>
        <a:xfrm>
          <a:off x="0" y="25022175"/>
          <a:ext cx="122768" cy="35147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135</xdr:row>
      <xdr:rowOff>0</xdr:rowOff>
    </xdr:to>
    <xdr:cxnSp macro="">
      <xdr:nvCxnSpPr>
        <xdr:cNvPr id="3" name="2 Conector recto"/>
        <xdr:cNvCxnSpPr/>
      </xdr:nvCxnSpPr>
      <xdr:spPr>
        <a:xfrm flipH="1">
          <a:off x="114300" y="25034875"/>
          <a:ext cx="12700" cy="35020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130</xdr:row>
      <xdr:rowOff>222251</xdr:rowOff>
    </xdr:to>
    <xdr:sp macro="" textlink="">
      <xdr:nvSpPr>
        <xdr:cNvPr id="2" name="1 Rectángulo"/>
        <xdr:cNvSpPr/>
      </xdr:nvSpPr>
      <xdr:spPr>
        <a:xfrm>
          <a:off x="0" y="25174575"/>
          <a:ext cx="122768" cy="26320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130</xdr:row>
      <xdr:rowOff>12700</xdr:rowOff>
    </xdr:to>
    <xdr:cxnSp macro="">
      <xdr:nvCxnSpPr>
        <xdr:cNvPr id="3" name="2 Conector recto"/>
        <xdr:cNvCxnSpPr/>
      </xdr:nvCxnSpPr>
      <xdr:spPr>
        <a:xfrm flipH="1">
          <a:off x="114300" y="25292050"/>
          <a:ext cx="12700" cy="2305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130</xdr:row>
      <xdr:rowOff>222251</xdr:rowOff>
    </xdr:to>
    <xdr:sp macro="" textlink="">
      <xdr:nvSpPr>
        <xdr:cNvPr id="2" name="1 Rectángulo"/>
        <xdr:cNvSpPr/>
      </xdr:nvSpPr>
      <xdr:spPr>
        <a:xfrm>
          <a:off x="0" y="25174575"/>
          <a:ext cx="122768" cy="26320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130</xdr:row>
      <xdr:rowOff>12700</xdr:rowOff>
    </xdr:to>
    <xdr:cxnSp macro="">
      <xdr:nvCxnSpPr>
        <xdr:cNvPr id="3" name="2 Conector recto"/>
        <xdr:cNvCxnSpPr/>
      </xdr:nvCxnSpPr>
      <xdr:spPr>
        <a:xfrm flipH="1">
          <a:off x="114300" y="25292050"/>
          <a:ext cx="12700" cy="2305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130</xdr:row>
      <xdr:rowOff>222251</xdr:rowOff>
    </xdr:to>
    <xdr:sp macro="" textlink="">
      <xdr:nvSpPr>
        <xdr:cNvPr id="2" name="1 Rectángulo"/>
        <xdr:cNvSpPr/>
      </xdr:nvSpPr>
      <xdr:spPr>
        <a:xfrm>
          <a:off x="0" y="25174575"/>
          <a:ext cx="122768" cy="26320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130</xdr:row>
      <xdr:rowOff>12700</xdr:rowOff>
    </xdr:to>
    <xdr:cxnSp macro="">
      <xdr:nvCxnSpPr>
        <xdr:cNvPr id="3" name="2 Conector recto"/>
        <xdr:cNvCxnSpPr/>
      </xdr:nvCxnSpPr>
      <xdr:spPr>
        <a:xfrm flipH="1">
          <a:off x="114300" y="25292050"/>
          <a:ext cx="12700" cy="2305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130</xdr:row>
      <xdr:rowOff>222251</xdr:rowOff>
    </xdr:to>
    <xdr:sp macro="" textlink="">
      <xdr:nvSpPr>
        <xdr:cNvPr id="2" name="1 Rectángulo"/>
        <xdr:cNvSpPr/>
      </xdr:nvSpPr>
      <xdr:spPr>
        <a:xfrm>
          <a:off x="0" y="25174575"/>
          <a:ext cx="122768" cy="26320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130</xdr:row>
      <xdr:rowOff>12700</xdr:rowOff>
    </xdr:to>
    <xdr:cxnSp macro="">
      <xdr:nvCxnSpPr>
        <xdr:cNvPr id="3" name="2 Conector recto"/>
        <xdr:cNvCxnSpPr/>
      </xdr:nvCxnSpPr>
      <xdr:spPr>
        <a:xfrm flipH="1">
          <a:off x="114300" y="25292050"/>
          <a:ext cx="12700" cy="2305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130</xdr:row>
      <xdr:rowOff>222251</xdr:rowOff>
    </xdr:to>
    <xdr:sp macro="" textlink="">
      <xdr:nvSpPr>
        <xdr:cNvPr id="2" name="1 Rectángulo"/>
        <xdr:cNvSpPr/>
      </xdr:nvSpPr>
      <xdr:spPr>
        <a:xfrm>
          <a:off x="0" y="25174575"/>
          <a:ext cx="122768" cy="26320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130</xdr:row>
      <xdr:rowOff>12700</xdr:rowOff>
    </xdr:to>
    <xdr:cxnSp macro="">
      <xdr:nvCxnSpPr>
        <xdr:cNvPr id="3" name="2 Conector recto"/>
        <xdr:cNvCxnSpPr/>
      </xdr:nvCxnSpPr>
      <xdr:spPr>
        <a:xfrm flipH="1">
          <a:off x="114300" y="25292050"/>
          <a:ext cx="12700" cy="2305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130</xdr:row>
      <xdr:rowOff>222251</xdr:rowOff>
    </xdr:to>
    <xdr:sp macro="" textlink="">
      <xdr:nvSpPr>
        <xdr:cNvPr id="2" name="1 Rectángulo"/>
        <xdr:cNvSpPr/>
      </xdr:nvSpPr>
      <xdr:spPr>
        <a:xfrm>
          <a:off x="0" y="25174575"/>
          <a:ext cx="122768" cy="26320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130</xdr:row>
      <xdr:rowOff>12700</xdr:rowOff>
    </xdr:to>
    <xdr:cxnSp macro="">
      <xdr:nvCxnSpPr>
        <xdr:cNvPr id="3" name="2 Conector recto"/>
        <xdr:cNvCxnSpPr/>
      </xdr:nvCxnSpPr>
      <xdr:spPr>
        <a:xfrm flipH="1">
          <a:off x="114300" y="25292050"/>
          <a:ext cx="12700" cy="2305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135</xdr:row>
      <xdr:rowOff>222251</xdr:rowOff>
    </xdr:to>
    <xdr:sp macro="" textlink="">
      <xdr:nvSpPr>
        <xdr:cNvPr id="2" name="1 Rectángulo"/>
        <xdr:cNvSpPr/>
      </xdr:nvSpPr>
      <xdr:spPr>
        <a:xfrm>
          <a:off x="0" y="25174575"/>
          <a:ext cx="122768" cy="26320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135</xdr:row>
      <xdr:rowOff>12700</xdr:rowOff>
    </xdr:to>
    <xdr:cxnSp macro="">
      <xdr:nvCxnSpPr>
        <xdr:cNvPr id="3" name="2 Conector recto"/>
        <xdr:cNvCxnSpPr/>
      </xdr:nvCxnSpPr>
      <xdr:spPr>
        <a:xfrm flipH="1">
          <a:off x="114300" y="25292050"/>
          <a:ext cx="12700" cy="2305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152400</xdr:rowOff>
    </xdr:from>
    <xdr:to>
      <xdr:col>0</xdr:col>
      <xdr:colOff>122768</xdr:colOff>
      <xdr:row>135</xdr:row>
      <xdr:rowOff>222251</xdr:rowOff>
    </xdr:to>
    <xdr:sp macro="" textlink="">
      <xdr:nvSpPr>
        <xdr:cNvPr id="2" name="1 Rectángulo"/>
        <xdr:cNvSpPr/>
      </xdr:nvSpPr>
      <xdr:spPr>
        <a:xfrm>
          <a:off x="0" y="25174575"/>
          <a:ext cx="122768" cy="38417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GT"/>
        </a:p>
      </xdr:txBody>
    </xdr:sp>
    <xdr:clientData/>
  </xdr:twoCellAnchor>
  <xdr:twoCellAnchor>
    <xdr:from>
      <xdr:col>0</xdr:col>
      <xdr:colOff>114300</xdr:colOff>
      <xdr:row>116</xdr:row>
      <xdr:rowOff>12700</xdr:rowOff>
    </xdr:from>
    <xdr:to>
      <xdr:col>0</xdr:col>
      <xdr:colOff>127000</xdr:colOff>
      <xdr:row>135</xdr:row>
      <xdr:rowOff>12700</xdr:rowOff>
    </xdr:to>
    <xdr:cxnSp macro="">
      <xdr:nvCxnSpPr>
        <xdr:cNvPr id="3" name="2 Conector recto"/>
        <xdr:cNvCxnSpPr/>
      </xdr:nvCxnSpPr>
      <xdr:spPr>
        <a:xfrm flipH="1">
          <a:off x="114300" y="25292050"/>
          <a:ext cx="12700" cy="35147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showGridLines="0" zoomScale="75" zoomScaleNormal="75" workbookViewId="0">
      <selection activeCell="C11" sqref="C11"/>
    </sheetView>
  </sheetViews>
  <sheetFormatPr baseColWidth="10" defaultColWidth="11.42578125" defaultRowHeight="18"/>
  <cols>
    <col min="1" max="1" width="10.7109375" style="3" customWidth="1"/>
    <col min="2" max="2" width="64.7109375" style="3" customWidth="1"/>
    <col min="3" max="3" width="19.28515625" style="3" customWidth="1"/>
    <col min="4" max="9" width="16.42578125" style="3" customWidth="1"/>
    <col min="10" max="10" width="19.28515625" style="3" customWidth="1"/>
    <col min="11" max="11" width="19.28515625" style="87" customWidth="1"/>
    <col min="12" max="12" width="19.28515625" style="3" customWidth="1"/>
    <col min="13" max="13" width="12.7109375" style="3" customWidth="1"/>
    <col min="14" max="14" width="7" style="3" customWidth="1"/>
    <col min="15" max="15" width="19.5703125" style="3" bestFit="1" customWidth="1"/>
    <col min="16" max="16" width="15.42578125" style="3" bestFit="1" customWidth="1"/>
    <col min="17" max="16384" width="11.42578125" style="3"/>
  </cols>
  <sheetData>
    <row r="1" spans="1:1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80"/>
      <c r="L1" s="42"/>
      <c r="M1" s="42"/>
    </row>
    <row r="2" spans="1:1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80"/>
      <c r="L2" s="42"/>
      <c r="M2" s="42"/>
    </row>
    <row r="3" spans="1:15">
      <c r="A3" s="42" t="s">
        <v>132</v>
      </c>
      <c r="B3" s="42"/>
      <c r="C3" s="42"/>
      <c r="D3" s="42"/>
      <c r="E3" s="42"/>
      <c r="F3" s="42"/>
      <c r="G3" s="42"/>
      <c r="H3" s="42"/>
      <c r="I3" s="42"/>
      <c r="J3" s="42"/>
      <c r="K3" s="80"/>
      <c r="L3" s="42"/>
      <c r="M3" s="42"/>
    </row>
    <row r="4" spans="1:15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80"/>
      <c r="L4" s="42"/>
      <c r="M4" s="42"/>
    </row>
    <row r="5" spans="1:15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80"/>
      <c r="L5" s="42"/>
      <c r="M5" s="42"/>
    </row>
    <row r="6" spans="1:15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1" t="s">
        <v>1</v>
      </c>
      <c r="K6" s="188" t="s">
        <v>2</v>
      </c>
      <c r="L6" s="2" t="s">
        <v>27</v>
      </c>
      <c r="M6" s="1" t="s">
        <v>29</v>
      </c>
    </row>
    <row r="7" spans="1:15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4" t="s">
        <v>4</v>
      </c>
      <c r="K7" s="189"/>
      <c r="L7" s="6" t="s">
        <v>28</v>
      </c>
      <c r="M7" s="7" t="s">
        <v>30</v>
      </c>
    </row>
    <row r="8" spans="1:15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81"/>
      <c r="L8" s="74"/>
      <c r="M8" s="43"/>
    </row>
    <row r="9" spans="1:15">
      <c r="A9" s="78"/>
      <c r="B9" s="79"/>
      <c r="C9" s="43"/>
      <c r="D9" s="43"/>
      <c r="E9" s="43"/>
      <c r="F9" s="43"/>
      <c r="G9" s="43"/>
      <c r="H9" s="43"/>
      <c r="I9" s="43"/>
      <c r="J9" s="43"/>
      <c r="K9" s="81"/>
      <c r="L9" s="74"/>
      <c r="M9" s="43"/>
    </row>
    <row r="10" spans="1:15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33">
        <f t="shared" ref="J10:J17" si="0">C10+D10-E10+F10-G10+H10-I10</f>
        <v>656637.59</v>
      </c>
      <c r="K10" s="49">
        <v>0</v>
      </c>
      <c r="L10" s="74">
        <f t="shared" ref="L10:L15" si="1">J10-K10+I10</f>
        <v>656637.59</v>
      </c>
      <c r="M10" s="57">
        <f>K10/K18</f>
        <v>0</v>
      </c>
    </row>
    <row r="11" spans="1:15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33">
        <f t="shared" si="0"/>
        <v>90000</v>
      </c>
      <c r="K11" s="49">
        <f>6885+7250</f>
        <v>14135</v>
      </c>
      <c r="L11" s="72">
        <f t="shared" si="1"/>
        <v>75865</v>
      </c>
      <c r="M11" s="57">
        <f>K11/K18</f>
        <v>6.737913929453683E-2</v>
      </c>
    </row>
    <row r="12" spans="1:15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33">
        <f t="shared" si="0"/>
        <v>4000</v>
      </c>
      <c r="K12" s="49">
        <f>154.29</f>
        <v>154.29</v>
      </c>
      <c r="L12" s="72">
        <f t="shared" si="1"/>
        <v>3845.71</v>
      </c>
      <c r="M12" s="57">
        <f>K12/K18</f>
        <v>7.3547417062285727E-4</v>
      </c>
    </row>
    <row r="13" spans="1:15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33">
        <f t="shared" si="0"/>
        <v>2345924.88</v>
      </c>
      <c r="K13" s="49">
        <f>195493.74</f>
        <v>195493.74</v>
      </c>
      <c r="L13" s="72">
        <f t="shared" si="1"/>
        <v>2150431.1399999997</v>
      </c>
      <c r="M13" s="57">
        <f>K13/K18</f>
        <v>0.93188538653484032</v>
      </c>
      <c r="O13" s="58"/>
    </row>
    <row r="14" spans="1:15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33">
        <f t="shared" si="0"/>
        <v>4496358.8600000003</v>
      </c>
      <c r="K14" s="49">
        <v>0</v>
      </c>
      <c r="L14" s="72">
        <f t="shared" si="1"/>
        <v>4496358.8600000003</v>
      </c>
      <c r="M14" s="57">
        <f>K14/K18</f>
        <v>0</v>
      </c>
      <c r="O14" s="58"/>
    </row>
    <row r="15" spans="1:15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33">
        <f t="shared" si="0"/>
        <v>2969280.92</v>
      </c>
      <c r="K15" s="49">
        <v>0</v>
      </c>
      <c r="L15" s="74">
        <f t="shared" si="1"/>
        <v>2969280.92</v>
      </c>
      <c r="M15" s="57">
        <v>0</v>
      </c>
      <c r="O15" s="58"/>
    </row>
    <row r="16" spans="1:15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33">
        <f>C16+D16-E16+F16-G16+H16-I16</f>
        <v>15000</v>
      </c>
      <c r="K16" s="49">
        <v>0</v>
      </c>
      <c r="L16" s="74">
        <f>J16-K16+I16</f>
        <v>15000</v>
      </c>
      <c r="M16" s="57">
        <v>0</v>
      </c>
      <c r="O16" s="58"/>
    </row>
    <row r="17" spans="1:15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33">
        <f t="shared" si="0"/>
        <v>0</v>
      </c>
      <c r="K17" s="49">
        <v>0</v>
      </c>
      <c r="L17" s="75">
        <f>-K17+I17</f>
        <v>0</v>
      </c>
      <c r="M17" s="61">
        <f>K17/K18</f>
        <v>0</v>
      </c>
      <c r="O17" s="58"/>
    </row>
    <row r="18" spans="1:15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4">
        <f>SUM(J10:J17)</f>
        <v>10577202.25</v>
      </c>
      <c r="K18" s="95">
        <f>ROUND((SUM(K10:K17)),2)</f>
        <v>209783.03</v>
      </c>
      <c r="L18" s="94">
        <f>SUM(L10:L17)</f>
        <v>10367419.219999999</v>
      </c>
      <c r="M18" s="96">
        <f>SUM(M17:M17)</f>
        <v>0</v>
      </c>
      <c r="O18" s="58"/>
    </row>
    <row r="19" spans="1:15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82"/>
      <c r="L19" s="43"/>
      <c r="M19" s="43"/>
      <c r="O19" s="58"/>
    </row>
    <row r="20" spans="1:15">
      <c r="A20" s="78" t="s">
        <v>5</v>
      </c>
      <c r="B20" s="79" t="s">
        <v>102</v>
      </c>
      <c r="C20" s="43"/>
      <c r="D20" s="43"/>
      <c r="E20" s="43"/>
      <c r="F20" s="43"/>
      <c r="G20" s="43"/>
      <c r="H20" s="43"/>
      <c r="I20" s="43"/>
      <c r="J20" s="43"/>
      <c r="K20" s="82"/>
      <c r="L20" s="43"/>
      <c r="M20" s="43"/>
      <c r="O20" s="58"/>
    </row>
    <row r="21" spans="1:15">
      <c r="A21" s="23">
        <v>0</v>
      </c>
      <c r="B21" s="23" t="s">
        <v>9</v>
      </c>
      <c r="C21" s="33"/>
      <c r="D21" s="33"/>
      <c r="E21" s="33"/>
      <c r="F21" s="33"/>
      <c r="G21" s="33"/>
      <c r="H21" s="33"/>
      <c r="I21" s="33"/>
      <c r="J21" s="33"/>
      <c r="K21" s="81"/>
      <c r="L21" s="49"/>
      <c r="M21" s="53"/>
      <c r="O21" s="58"/>
    </row>
    <row r="22" spans="1:15">
      <c r="A22" s="19" t="s">
        <v>13</v>
      </c>
      <c r="B22" s="20" t="s">
        <v>79</v>
      </c>
      <c r="C22" s="33">
        <v>669886</v>
      </c>
      <c r="D22" s="33"/>
      <c r="E22" s="33"/>
      <c r="F22" s="33"/>
      <c r="G22" s="33"/>
      <c r="H22" s="33"/>
      <c r="I22" s="33"/>
      <c r="J22" s="33">
        <f t="shared" ref="J22:J69" si="2">C22+D22-E22+F22-G22+H22-I22</f>
        <v>669886</v>
      </c>
      <c r="K22" s="49">
        <v>42329.53</v>
      </c>
      <c r="L22" s="49">
        <f>J22-K22</f>
        <v>627556.47</v>
      </c>
      <c r="M22" s="53">
        <f t="shared" ref="M22:M33" si="3">K22/$K$114</f>
        <v>0.3610742919670783</v>
      </c>
      <c r="O22" s="58"/>
    </row>
    <row r="23" spans="1:15">
      <c r="A23" s="19" t="s">
        <v>31</v>
      </c>
      <c r="B23" s="20" t="s">
        <v>32</v>
      </c>
      <c r="C23" s="33">
        <v>4500</v>
      </c>
      <c r="D23" s="33"/>
      <c r="E23" s="33"/>
      <c r="F23" s="33"/>
      <c r="G23" s="33"/>
      <c r="H23" s="33"/>
      <c r="I23" s="33"/>
      <c r="J23" s="33">
        <f t="shared" si="2"/>
        <v>4500</v>
      </c>
      <c r="K23" s="49">
        <v>375</v>
      </c>
      <c r="L23" s="49">
        <f t="shared" ref="L23:L69" si="4">J23-K23</f>
        <v>4125</v>
      </c>
      <c r="M23" s="53">
        <f t="shared" si="3"/>
        <v>3.1987801302696809E-3</v>
      </c>
      <c r="O23" s="58"/>
    </row>
    <row r="24" spans="1:15">
      <c r="A24" s="19" t="s">
        <v>14</v>
      </c>
      <c r="B24" s="20" t="s">
        <v>38</v>
      </c>
      <c r="C24" s="33">
        <v>112250</v>
      </c>
      <c r="D24" s="33"/>
      <c r="E24" s="33"/>
      <c r="F24" s="33"/>
      <c r="G24" s="33"/>
      <c r="H24" s="33"/>
      <c r="I24" s="33"/>
      <c r="J24" s="33">
        <f t="shared" si="2"/>
        <v>112250</v>
      </c>
      <c r="K24" s="49">
        <v>8000</v>
      </c>
      <c r="L24" s="49">
        <f t="shared" si="4"/>
        <v>104250</v>
      </c>
      <c r="M24" s="53">
        <f t="shared" si="3"/>
        <v>6.8240642779086522E-2</v>
      </c>
      <c r="O24" s="58"/>
    </row>
    <row r="25" spans="1:15" hidden="1">
      <c r="A25" s="121" t="s">
        <v>114</v>
      </c>
      <c r="B25" s="20" t="s">
        <v>115</v>
      </c>
      <c r="C25" s="33"/>
      <c r="D25" s="33"/>
      <c r="E25" s="33"/>
      <c r="F25" s="33"/>
      <c r="G25" s="33"/>
      <c r="H25" s="33"/>
      <c r="I25" s="33"/>
      <c r="J25" s="33">
        <f t="shared" si="2"/>
        <v>0</v>
      </c>
      <c r="K25" s="49"/>
      <c r="L25" s="49">
        <f t="shared" si="4"/>
        <v>0</v>
      </c>
      <c r="M25" s="53">
        <f t="shared" si="3"/>
        <v>0</v>
      </c>
      <c r="O25" s="58"/>
    </row>
    <row r="26" spans="1:15">
      <c r="A26" s="19" t="s">
        <v>116</v>
      </c>
      <c r="B26" s="20" t="s">
        <v>117</v>
      </c>
      <c r="C26" s="33">
        <v>0</v>
      </c>
      <c r="D26" s="33"/>
      <c r="E26" s="33"/>
      <c r="F26" s="33"/>
      <c r="G26" s="33"/>
      <c r="H26" s="33"/>
      <c r="I26" s="33"/>
      <c r="J26" s="33">
        <f t="shared" si="2"/>
        <v>0</v>
      </c>
      <c r="K26" s="49">
        <v>0</v>
      </c>
      <c r="L26" s="49">
        <f t="shared" si="4"/>
        <v>0</v>
      </c>
      <c r="M26" s="53">
        <f t="shared" si="3"/>
        <v>0</v>
      </c>
      <c r="O26" s="58"/>
    </row>
    <row r="27" spans="1:15">
      <c r="A27" s="19" t="s">
        <v>88</v>
      </c>
      <c r="B27" s="20" t="s">
        <v>89</v>
      </c>
      <c r="C27" s="33">
        <v>15400</v>
      </c>
      <c r="D27" s="33"/>
      <c r="E27" s="33"/>
      <c r="F27" s="33"/>
      <c r="G27" s="33"/>
      <c r="H27" s="33"/>
      <c r="I27" s="33"/>
      <c r="J27" s="33">
        <f t="shared" si="2"/>
        <v>15400</v>
      </c>
      <c r="K27" s="49">
        <v>0</v>
      </c>
      <c r="L27" s="49">
        <f t="shared" si="4"/>
        <v>15400</v>
      </c>
      <c r="M27" s="53">
        <f t="shared" si="3"/>
        <v>0</v>
      </c>
      <c r="O27" s="58"/>
    </row>
    <row r="28" spans="1:15">
      <c r="A28" s="19" t="s">
        <v>20</v>
      </c>
      <c r="B28" s="20" t="s">
        <v>21</v>
      </c>
      <c r="C28" s="33">
        <v>31068.6</v>
      </c>
      <c r="D28" s="33"/>
      <c r="E28" s="33"/>
      <c r="F28" s="33"/>
      <c r="G28" s="33"/>
      <c r="H28" s="33"/>
      <c r="I28" s="33"/>
      <c r="J28" s="33">
        <f t="shared" si="2"/>
        <v>31068.6</v>
      </c>
      <c r="K28" s="49">
        <v>910.22</v>
      </c>
      <c r="L28" s="49">
        <f t="shared" si="4"/>
        <v>30158.379999999997</v>
      </c>
      <c r="M28" s="53">
        <f t="shared" si="3"/>
        <v>7.7642497337975175E-3</v>
      </c>
      <c r="O28" s="58"/>
    </row>
    <row r="29" spans="1:15">
      <c r="A29" s="19" t="s">
        <v>15</v>
      </c>
      <c r="B29" s="20" t="s">
        <v>110</v>
      </c>
      <c r="C29" s="33">
        <v>94901</v>
      </c>
      <c r="D29" s="33"/>
      <c r="E29" s="33"/>
      <c r="F29" s="33"/>
      <c r="G29" s="33"/>
      <c r="H29" s="33"/>
      <c r="I29" s="33"/>
      <c r="J29" s="33">
        <f t="shared" si="2"/>
        <v>94901</v>
      </c>
      <c r="K29" s="49">
        <v>0</v>
      </c>
      <c r="L29" s="49">
        <f t="shared" si="4"/>
        <v>94901</v>
      </c>
      <c r="M29" s="53">
        <f t="shared" si="3"/>
        <v>0</v>
      </c>
      <c r="O29" s="58"/>
    </row>
    <row r="30" spans="1:15">
      <c r="A30" s="19" t="s">
        <v>16</v>
      </c>
      <c r="B30" s="20" t="s">
        <v>111</v>
      </c>
      <c r="C30" s="33">
        <v>8132.05</v>
      </c>
      <c r="D30" s="33"/>
      <c r="E30" s="33"/>
      <c r="F30" s="33"/>
      <c r="G30" s="33"/>
      <c r="H30" s="33"/>
      <c r="I30" s="33"/>
      <c r="J30" s="33">
        <f t="shared" si="2"/>
        <v>8132.05</v>
      </c>
      <c r="K30" s="49">
        <v>0</v>
      </c>
      <c r="L30" s="49">
        <f t="shared" si="4"/>
        <v>8132.05</v>
      </c>
      <c r="M30" s="53">
        <f t="shared" si="3"/>
        <v>0</v>
      </c>
      <c r="O30" s="58"/>
    </row>
    <row r="31" spans="1:15">
      <c r="A31" s="19" t="s">
        <v>17</v>
      </c>
      <c r="B31" s="21" t="s">
        <v>77</v>
      </c>
      <c r="C31" s="33">
        <v>59303</v>
      </c>
      <c r="D31" s="33"/>
      <c r="E31" s="33"/>
      <c r="F31" s="33"/>
      <c r="G31" s="33"/>
      <c r="H31" s="33"/>
      <c r="I31" s="33"/>
      <c r="J31" s="33">
        <f t="shared" si="2"/>
        <v>59303</v>
      </c>
      <c r="K31" s="49">
        <v>0</v>
      </c>
      <c r="L31" s="49">
        <f t="shared" si="4"/>
        <v>59303</v>
      </c>
      <c r="M31" s="53">
        <f t="shared" si="3"/>
        <v>0</v>
      </c>
      <c r="O31" s="58"/>
    </row>
    <row r="32" spans="1:15">
      <c r="A32" s="19" t="s">
        <v>18</v>
      </c>
      <c r="B32" s="20" t="s">
        <v>80</v>
      </c>
      <c r="C32" s="33">
        <v>59303</v>
      </c>
      <c r="D32" s="33"/>
      <c r="E32" s="33"/>
      <c r="F32" s="33"/>
      <c r="G32" s="33"/>
      <c r="H32" s="33"/>
      <c r="I32" s="33"/>
      <c r="J32" s="33">
        <f t="shared" si="2"/>
        <v>59303</v>
      </c>
      <c r="K32" s="49">
        <v>0</v>
      </c>
      <c r="L32" s="49">
        <f t="shared" si="4"/>
        <v>59303</v>
      </c>
      <c r="M32" s="53">
        <f t="shared" si="3"/>
        <v>0</v>
      </c>
      <c r="O32" s="58"/>
    </row>
    <row r="33" spans="1:15">
      <c r="A33" s="19" t="s">
        <v>19</v>
      </c>
      <c r="B33" s="20" t="s">
        <v>78</v>
      </c>
      <c r="C33" s="33">
        <v>4000</v>
      </c>
      <c r="D33" s="33"/>
      <c r="E33" s="33"/>
      <c r="F33" s="33"/>
      <c r="G33" s="33"/>
      <c r="H33" s="33"/>
      <c r="I33" s="33"/>
      <c r="J33" s="33">
        <f t="shared" si="2"/>
        <v>4000</v>
      </c>
      <c r="K33" s="49">
        <v>0</v>
      </c>
      <c r="L33" s="49">
        <f t="shared" si="4"/>
        <v>4000</v>
      </c>
      <c r="M33" s="53">
        <f t="shared" si="3"/>
        <v>0</v>
      </c>
      <c r="O33" s="58"/>
    </row>
    <row r="34" spans="1:15">
      <c r="A34" s="19"/>
      <c r="B34" s="20"/>
      <c r="C34" s="33"/>
      <c r="D34" s="33"/>
      <c r="E34" s="33"/>
      <c r="F34" s="33"/>
      <c r="G34" s="33"/>
      <c r="H34" s="33"/>
      <c r="I34" s="33"/>
      <c r="J34" s="33"/>
      <c r="K34" s="81"/>
      <c r="L34" s="49"/>
      <c r="M34" s="53"/>
      <c r="O34" s="58"/>
    </row>
    <row r="35" spans="1:15">
      <c r="A35" s="23">
        <v>1</v>
      </c>
      <c r="B35" s="23" t="s">
        <v>10</v>
      </c>
      <c r="C35" s="33"/>
      <c r="D35" s="33"/>
      <c r="E35" s="33"/>
      <c r="F35" s="33"/>
      <c r="G35" s="33"/>
      <c r="H35" s="33"/>
      <c r="I35" s="33"/>
      <c r="J35" s="33"/>
      <c r="K35" s="83"/>
      <c r="L35" s="49"/>
      <c r="M35" s="53"/>
      <c r="O35" s="58"/>
    </row>
    <row r="36" spans="1:15">
      <c r="A36" s="24">
        <v>111</v>
      </c>
      <c r="B36" s="20" t="s">
        <v>39</v>
      </c>
      <c r="C36" s="33">
        <v>13125</v>
      </c>
      <c r="D36" s="33"/>
      <c r="E36" s="33"/>
      <c r="F36" s="33"/>
      <c r="G36" s="33"/>
      <c r="H36" s="33"/>
      <c r="I36" s="33"/>
      <c r="J36" s="33">
        <f t="shared" si="2"/>
        <v>13125</v>
      </c>
      <c r="K36" s="49">
        <v>809.31999999999994</v>
      </c>
      <c r="L36" s="49">
        <f t="shared" si="4"/>
        <v>12315.68</v>
      </c>
      <c r="M36" s="53">
        <f t="shared" ref="M36:M69" si="5">K36/$K$114</f>
        <v>6.9035646267462877E-3</v>
      </c>
      <c r="O36" s="58"/>
    </row>
    <row r="37" spans="1:15">
      <c r="A37" s="24">
        <v>113</v>
      </c>
      <c r="B37" s="20" t="s">
        <v>48</v>
      </c>
      <c r="C37" s="33">
        <v>24780</v>
      </c>
      <c r="D37" s="33"/>
      <c r="E37" s="33"/>
      <c r="F37" s="33"/>
      <c r="G37" s="33"/>
      <c r="H37" s="33"/>
      <c r="I37" s="33"/>
      <c r="J37" s="33">
        <f t="shared" si="2"/>
        <v>24780</v>
      </c>
      <c r="K37" s="49">
        <v>1503</v>
      </c>
      <c r="L37" s="49">
        <f t="shared" si="4"/>
        <v>23277</v>
      </c>
      <c r="M37" s="53">
        <f t="shared" si="5"/>
        <v>1.2820710762120881E-2</v>
      </c>
      <c r="O37" s="58"/>
    </row>
    <row r="38" spans="1:15">
      <c r="A38" s="24">
        <v>114</v>
      </c>
      <c r="B38" s="20" t="s">
        <v>109</v>
      </c>
      <c r="C38" s="33">
        <v>2500</v>
      </c>
      <c r="D38" s="33"/>
      <c r="E38" s="33"/>
      <c r="F38" s="33"/>
      <c r="G38" s="33"/>
      <c r="H38" s="33"/>
      <c r="I38" s="33"/>
      <c r="J38" s="33">
        <f t="shared" si="2"/>
        <v>2500</v>
      </c>
      <c r="K38" s="49">
        <v>0</v>
      </c>
      <c r="L38" s="49">
        <f t="shared" si="4"/>
        <v>2500</v>
      </c>
      <c r="M38" s="53">
        <f t="shared" si="5"/>
        <v>0</v>
      </c>
      <c r="O38" s="58"/>
    </row>
    <row r="39" spans="1:15">
      <c r="A39" s="24">
        <v>121</v>
      </c>
      <c r="B39" s="20" t="s">
        <v>50</v>
      </c>
      <c r="C39" s="33">
        <v>12250</v>
      </c>
      <c r="D39" s="33"/>
      <c r="E39" s="33"/>
      <c r="F39" s="33"/>
      <c r="G39" s="33"/>
      <c r="H39" s="33"/>
      <c r="I39" s="33"/>
      <c r="J39" s="33">
        <f t="shared" si="2"/>
        <v>12250</v>
      </c>
      <c r="K39" s="49">
        <v>2040</v>
      </c>
      <c r="L39" s="49">
        <f t="shared" si="4"/>
        <v>10210</v>
      </c>
      <c r="M39" s="53">
        <f t="shared" si="5"/>
        <v>1.7401363908667065E-2</v>
      </c>
      <c r="O39" s="58"/>
    </row>
    <row r="40" spans="1:15">
      <c r="A40" s="24">
        <v>122</v>
      </c>
      <c r="B40" s="20" t="s">
        <v>81</v>
      </c>
      <c r="C40" s="33">
        <v>29000</v>
      </c>
      <c r="D40" s="33"/>
      <c r="E40" s="33"/>
      <c r="F40" s="33"/>
      <c r="G40" s="33"/>
      <c r="H40" s="33"/>
      <c r="I40" s="33"/>
      <c r="J40" s="33">
        <f t="shared" si="2"/>
        <v>29000</v>
      </c>
      <c r="K40" s="49">
        <v>147</v>
      </c>
      <c r="L40" s="49">
        <f t="shared" si="4"/>
        <v>28853</v>
      </c>
      <c r="M40" s="53">
        <f t="shared" si="5"/>
        <v>1.2539218110657149E-3</v>
      </c>
      <c r="N40" s="63"/>
      <c r="O40" s="58"/>
    </row>
    <row r="41" spans="1:15">
      <c r="A41" s="24">
        <v>131</v>
      </c>
      <c r="B41" s="20" t="s">
        <v>51</v>
      </c>
      <c r="C41" s="33">
        <v>1251963.1500000001</v>
      </c>
      <c r="D41" s="33"/>
      <c r="E41" s="33"/>
      <c r="F41" s="33"/>
      <c r="G41" s="33"/>
      <c r="H41" s="33"/>
      <c r="I41" s="33"/>
      <c r="J41" s="33">
        <f t="shared" si="2"/>
        <v>1251963.1500000001</v>
      </c>
      <c r="K41" s="49">
        <v>0</v>
      </c>
      <c r="L41" s="49">
        <f t="shared" si="4"/>
        <v>1251963.1500000001</v>
      </c>
      <c r="M41" s="53">
        <f t="shared" si="5"/>
        <v>0</v>
      </c>
      <c r="O41" s="58"/>
    </row>
    <row r="42" spans="1:15">
      <c r="A42" s="24">
        <v>133</v>
      </c>
      <c r="B42" s="20" t="s">
        <v>52</v>
      </c>
      <c r="C42" s="33">
        <v>1500</v>
      </c>
      <c r="D42" s="33"/>
      <c r="E42" s="33"/>
      <c r="F42" s="33"/>
      <c r="G42" s="33"/>
      <c r="H42" s="33"/>
      <c r="I42" s="33"/>
      <c r="J42" s="33">
        <f t="shared" si="2"/>
        <v>1500</v>
      </c>
      <c r="K42" s="49">
        <v>0</v>
      </c>
      <c r="L42" s="49">
        <f t="shared" si="4"/>
        <v>1500</v>
      </c>
      <c r="M42" s="53">
        <f t="shared" si="5"/>
        <v>0</v>
      </c>
      <c r="O42" s="58"/>
    </row>
    <row r="43" spans="1:15" hidden="1">
      <c r="A43" s="120">
        <v>134</v>
      </c>
      <c r="B43" s="20" t="s">
        <v>82</v>
      </c>
      <c r="C43" s="33">
        <v>0</v>
      </c>
      <c r="D43" s="33"/>
      <c r="E43" s="33"/>
      <c r="F43" s="33"/>
      <c r="G43" s="33"/>
      <c r="H43" s="33"/>
      <c r="I43" s="33"/>
      <c r="J43" s="33">
        <f t="shared" si="2"/>
        <v>0</v>
      </c>
      <c r="K43" s="49"/>
      <c r="L43" s="49">
        <f t="shared" si="4"/>
        <v>0</v>
      </c>
      <c r="M43" s="53">
        <f t="shared" si="5"/>
        <v>0</v>
      </c>
      <c r="O43" s="58"/>
    </row>
    <row r="44" spans="1:15">
      <c r="A44" s="24">
        <v>135</v>
      </c>
      <c r="B44" s="20" t="s">
        <v>90</v>
      </c>
      <c r="C44" s="33">
        <v>100840.04999999999</v>
      </c>
      <c r="D44" s="33"/>
      <c r="E44" s="33"/>
      <c r="F44" s="33"/>
      <c r="G44" s="33"/>
      <c r="H44" s="33"/>
      <c r="I44" s="33"/>
      <c r="J44" s="33">
        <f t="shared" si="2"/>
        <v>100840.04999999999</v>
      </c>
      <c r="K44" s="49">
        <v>27198.95</v>
      </c>
      <c r="L44" s="49">
        <f t="shared" si="4"/>
        <v>73641.099999999991</v>
      </c>
      <c r="M44" s="53">
        <f t="shared" si="5"/>
        <v>0.23200922886452943</v>
      </c>
      <c r="O44" s="58"/>
    </row>
    <row r="45" spans="1:15">
      <c r="A45" s="24">
        <v>141</v>
      </c>
      <c r="B45" s="20" t="s">
        <v>71</v>
      </c>
      <c r="C45" s="33">
        <v>846850</v>
      </c>
      <c r="D45" s="33"/>
      <c r="E45" s="33"/>
      <c r="F45" s="33"/>
      <c r="G45" s="33"/>
      <c r="H45" s="33"/>
      <c r="I45" s="33"/>
      <c r="J45" s="33">
        <f t="shared" si="2"/>
        <v>846850</v>
      </c>
      <c r="K45" s="49">
        <v>0</v>
      </c>
      <c r="L45" s="49">
        <f t="shared" si="4"/>
        <v>846850</v>
      </c>
      <c r="M45" s="53">
        <f t="shared" si="5"/>
        <v>0</v>
      </c>
      <c r="O45" s="58"/>
    </row>
    <row r="46" spans="1:15">
      <c r="A46" s="24">
        <v>142</v>
      </c>
      <c r="B46" s="20" t="s">
        <v>22</v>
      </c>
      <c r="C46" s="33">
        <v>16000</v>
      </c>
      <c r="D46" s="33"/>
      <c r="E46" s="33"/>
      <c r="F46" s="33"/>
      <c r="G46" s="33"/>
      <c r="H46" s="33"/>
      <c r="I46" s="33"/>
      <c r="J46" s="33">
        <f t="shared" si="2"/>
        <v>16000</v>
      </c>
      <c r="K46" s="49">
        <v>0</v>
      </c>
      <c r="L46" s="49">
        <f t="shared" si="4"/>
        <v>16000</v>
      </c>
      <c r="M46" s="53">
        <f t="shared" si="5"/>
        <v>0</v>
      </c>
      <c r="O46" s="58"/>
    </row>
    <row r="47" spans="1:15">
      <c r="A47" s="24">
        <v>143</v>
      </c>
      <c r="B47" s="20" t="s">
        <v>112</v>
      </c>
      <c r="C47" s="33">
        <v>27000</v>
      </c>
      <c r="D47" s="33"/>
      <c r="E47" s="33"/>
      <c r="F47" s="33"/>
      <c r="G47" s="33"/>
      <c r="H47" s="33"/>
      <c r="I47" s="33"/>
      <c r="J47" s="33">
        <f t="shared" si="2"/>
        <v>27000</v>
      </c>
      <c r="K47" s="49">
        <v>0</v>
      </c>
      <c r="L47" s="49">
        <f t="shared" si="4"/>
        <v>27000</v>
      </c>
      <c r="M47" s="53">
        <f t="shared" si="5"/>
        <v>0</v>
      </c>
      <c r="O47" s="58"/>
    </row>
    <row r="48" spans="1:15">
      <c r="A48" s="24">
        <v>151</v>
      </c>
      <c r="B48" s="20" t="s">
        <v>118</v>
      </c>
      <c r="C48" s="33">
        <v>70560</v>
      </c>
      <c r="D48" s="33"/>
      <c r="E48" s="33"/>
      <c r="F48" s="33"/>
      <c r="G48" s="33"/>
      <c r="H48" s="33"/>
      <c r="I48" s="33"/>
      <c r="J48" s="33">
        <f t="shared" si="2"/>
        <v>70560</v>
      </c>
      <c r="K48" s="49">
        <v>5617.5</v>
      </c>
      <c r="L48" s="49">
        <f t="shared" si="4"/>
        <v>64942.5</v>
      </c>
      <c r="M48" s="53">
        <f t="shared" si="5"/>
        <v>4.7917726351439822E-2</v>
      </c>
      <c r="O48" s="58"/>
    </row>
    <row r="49" spans="1:15" hidden="1">
      <c r="A49" s="120">
        <v>155</v>
      </c>
      <c r="B49" s="20" t="s">
        <v>33</v>
      </c>
      <c r="C49" s="33">
        <v>0</v>
      </c>
      <c r="D49" s="33"/>
      <c r="E49" s="33"/>
      <c r="F49" s="33"/>
      <c r="G49" s="33"/>
      <c r="H49" s="33"/>
      <c r="I49" s="33"/>
      <c r="J49" s="33">
        <f t="shared" si="2"/>
        <v>0</v>
      </c>
      <c r="K49" s="49"/>
      <c r="L49" s="49">
        <f t="shared" si="4"/>
        <v>0</v>
      </c>
      <c r="M49" s="53">
        <f t="shared" si="5"/>
        <v>0</v>
      </c>
      <c r="O49" s="58"/>
    </row>
    <row r="50" spans="1:15">
      <c r="A50" s="24">
        <v>158</v>
      </c>
      <c r="B50" s="20" t="s">
        <v>91</v>
      </c>
      <c r="C50" s="33">
        <v>6550</v>
      </c>
      <c r="D50" s="33"/>
      <c r="E50" s="33"/>
      <c r="F50" s="33"/>
      <c r="G50" s="33"/>
      <c r="H50" s="33"/>
      <c r="I50" s="33"/>
      <c r="J50" s="33">
        <f t="shared" si="2"/>
        <v>6550</v>
      </c>
      <c r="K50" s="49">
        <v>0</v>
      </c>
      <c r="L50" s="49">
        <f t="shared" si="4"/>
        <v>6550</v>
      </c>
      <c r="M50" s="53">
        <f t="shared" si="5"/>
        <v>0</v>
      </c>
      <c r="O50" s="58"/>
    </row>
    <row r="51" spans="1:15">
      <c r="A51" s="24">
        <v>162</v>
      </c>
      <c r="B51" s="20" t="s">
        <v>53</v>
      </c>
      <c r="C51" s="33">
        <v>2000</v>
      </c>
      <c r="D51" s="33"/>
      <c r="E51" s="33"/>
      <c r="F51" s="33"/>
      <c r="G51" s="33"/>
      <c r="H51" s="33"/>
      <c r="I51" s="33"/>
      <c r="J51" s="33">
        <f t="shared" si="2"/>
        <v>2000</v>
      </c>
      <c r="K51" s="49">
        <v>0</v>
      </c>
      <c r="L51" s="49">
        <f t="shared" si="4"/>
        <v>2000</v>
      </c>
      <c r="M51" s="53">
        <f t="shared" si="5"/>
        <v>0</v>
      </c>
      <c r="O51" s="58"/>
    </row>
    <row r="52" spans="1:15">
      <c r="A52" s="24">
        <v>164</v>
      </c>
      <c r="B52" s="20" t="s">
        <v>40</v>
      </c>
      <c r="C52" s="33">
        <v>20000</v>
      </c>
      <c r="D52" s="33"/>
      <c r="E52" s="33"/>
      <c r="F52" s="33"/>
      <c r="G52" s="33"/>
      <c r="H52" s="33"/>
      <c r="I52" s="33"/>
      <c r="J52" s="33">
        <f t="shared" si="2"/>
        <v>20000</v>
      </c>
      <c r="K52" s="49">
        <v>0</v>
      </c>
      <c r="L52" s="49">
        <f t="shared" si="4"/>
        <v>20000</v>
      </c>
      <c r="M52" s="53">
        <f t="shared" si="5"/>
        <v>0</v>
      </c>
      <c r="O52" s="58"/>
    </row>
    <row r="53" spans="1:15">
      <c r="A53" s="24">
        <v>165</v>
      </c>
      <c r="B53" s="20" t="s">
        <v>92</v>
      </c>
      <c r="C53" s="33">
        <v>6900</v>
      </c>
      <c r="D53" s="33"/>
      <c r="E53" s="33"/>
      <c r="F53" s="33"/>
      <c r="G53" s="33"/>
      <c r="H53" s="33"/>
      <c r="I53" s="33"/>
      <c r="J53" s="33">
        <f t="shared" si="2"/>
        <v>6900</v>
      </c>
      <c r="K53" s="49">
        <v>0</v>
      </c>
      <c r="L53" s="49">
        <f t="shared" si="4"/>
        <v>6900</v>
      </c>
      <c r="M53" s="53">
        <f t="shared" si="5"/>
        <v>0</v>
      </c>
      <c r="O53" s="58"/>
    </row>
    <row r="54" spans="1:15">
      <c r="A54" s="24">
        <v>168</v>
      </c>
      <c r="B54" s="20" t="s">
        <v>54</v>
      </c>
      <c r="C54" s="33">
        <v>3000</v>
      </c>
      <c r="D54" s="33"/>
      <c r="E54" s="33"/>
      <c r="F54" s="33"/>
      <c r="G54" s="33"/>
      <c r="H54" s="33"/>
      <c r="I54" s="33"/>
      <c r="J54" s="33">
        <f t="shared" si="2"/>
        <v>3000</v>
      </c>
      <c r="K54" s="49">
        <v>0</v>
      </c>
      <c r="L54" s="49">
        <f t="shared" si="4"/>
        <v>3000</v>
      </c>
      <c r="M54" s="53">
        <f t="shared" si="5"/>
        <v>0</v>
      </c>
      <c r="O54" s="58"/>
    </row>
    <row r="55" spans="1:15">
      <c r="A55" s="24">
        <v>174</v>
      </c>
      <c r="B55" s="20" t="s">
        <v>41</v>
      </c>
      <c r="C55" s="33">
        <v>5000</v>
      </c>
      <c r="D55" s="33"/>
      <c r="E55" s="33"/>
      <c r="F55" s="33"/>
      <c r="G55" s="33"/>
      <c r="H55" s="33"/>
      <c r="I55" s="33"/>
      <c r="J55" s="33">
        <f t="shared" si="2"/>
        <v>5000</v>
      </c>
      <c r="K55" s="49">
        <v>0</v>
      </c>
      <c r="L55" s="49">
        <f t="shared" si="4"/>
        <v>5000</v>
      </c>
      <c r="M55" s="53">
        <f t="shared" si="5"/>
        <v>0</v>
      </c>
      <c r="O55" s="58"/>
    </row>
    <row r="56" spans="1:15">
      <c r="A56" s="24">
        <v>181</v>
      </c>
      <c r="B56" s="20" t="s">
        <v>139</v>
      </c>
      <c r="C56" s="33">
        <v>158000</v>
      </c>
      <c r="D56" s="33"/>
      <c r="E56" s="33"/>
      <c r="F56" s="33"/>
      <c r="G56" s="33"/>
      <c r="H56" s="33"/>
      <c r="I56" s="33"/>
      <c r="J56" s="33">
        <f t="shared" ref="J56" si="6">C56+D56-E56+F56-G56+H56-I56</f>
        <v>158000</v>
      </c>
      <c r="K56" s="49">
        <v>0</v>
      </c>
      <c r="L56" s="49">
        <f t="shared" ref="L56" si="7">J56-K56</f>
        <v>158000</v>
      </c>
      <c r="M56" s="53">
        <f t="shared" si="5"/>
        <v>0</v>
      </c>
      <c r="O56" s="58"/>
    </row>
    <row r="57" spans="1:15" hidden="1">
      <c r="A57" s="120">
        <v>182</v>
      </c>
      <c r="B57" s="20" t="s">
        <v>56</v>
      </c>
      <c r="C57" s="33">
        <v>0</v>
      </c>
      <c r="D57" s="33"/>
      <c r="E57" s="33"/>
      <c r="F57" s="33"/>
      <c r="G57" s="33"/>
      <c r="H57" s="33"/>
      <c r="I57" s="33"/>
      <c r="J57" s="33">
        <f t="shared" si="2"/>
        <v>0</v>
      </c>
      <c r="K57" s="49"/>
      <c r="L57" s="49">
        <f t="shared" si="4"/>
        <v>0</v>
      </c>
      <c r="M57" s="53">
        <f t="shared" si="5"/>
        <v>0</v>
      </c>
      <c r="O57" s="58"/>
    </row>
    <row r="58" spans="1:15">
      <c r="A58" s="24">
        <v>183</v>
      </c>
      <c r="B58" s="20" t="s">
        <v>93</v>
      </c>
      <c r="C58" s="33">
        <v>85000</v>
      </c>
      <c r="D58" s="33"/>
      <c r="E58" s="33"/>
      <c r="F58" s="33"/>
      <c r="G58" s="33"/>
      <c r="H58" s="33"/>
      <c r="I58" s="33"/>
      <c r="J58" s="33">
        <f t="shared" si="2"/>
        <v>85000</v>
      </c>
      <c r="K58" s="49">
        <v>0</v>
      </c>
      <c r="L58" s="49">
        <f t="shared" si="4"/>
        <v>85000</v>
      </c>
      <c r="M58" s="53">
        <f t="shared" si="5"/>
        <v>0</v>
      </c>
      <c r="O58" s="58"/>
    </row>
    <row r="59" spans="1:15">
      <c r="A59" s="24">
        <v>184</v>
      </c>
      <c r="B59" s="20" t="s">
        <v>94</v>
      </c>
      <c r="C59" s="33">
        <v>50000</v>
      </c>
      <c r="D59" s="33"/>
      <c r="E59" s="33"/>
      <c r="F59" s="33"/>
      <c r="G59" s="33"/>
      <c r="H59" s="33"/>
      <c r="I59" s="33"/>
      <c r="J59" s="33">
        <f t="shared" si="2"/>
        <v>50000</v>
      </c>
      <c r="K59" s="49">
        <v>3821.43</v>
      </c>
      <c r="L59" s="49">
        <f t="shared" si="4"/>
        <v>46178.57</v>
      </c>
      <c r="M59" s="53">
        <f t="shared" si="5"/>
        <v>3.2597104941910579E-2</v>
      </c>
      <c r="O59" s="58"/>
    </row>
    <row r="60" spans="1:15">
      <c r="A60" s="24">
        <v>185</v>
      </c>
      <c r="B60" s="20" t="s">
        <v>95</v>
      </c>
      <c r="C60" s="33">
        <v>15000</v>
      </c>
      <c r="D60" s="33"/>
      <c r="E60" s="33"/>
      <c r="F60" s="33"/>
      <c r="G60" s="33"/>
      <c r="H60" s="33"/>
      <c r="I60" s="33"/>
      <c r="J60" s="33">
        <f t="shared" si="2"/>
        <v>15000</v>
      </c>
      <c r="K60" s="49">
        <v>0</v>
      </c>
      <c r="L60" s="49">
        <f t="shared" si="4"/>
        <v>15000</v>
      </c>
      <c r="M60" s="53">
        <f t="shared" si="5"/>
        <v>0</v>
      </c>
      <c r="O60" s="58"/>
    </row>
    <row r="61" spans="1:15">
      <c r="A61" s="24">
        <v>186</v>
      </c>
      <c r="B61" s="20" t="s">
        <v>42</v>
      </c>
      <c r="C61" s="33">
        <v>2000</v>
      </c>
      <c r="D61" s="33"/>
      <c r="E61" s="33"/>
      <c r="F61" s="33"/>
      <c r="G61" s="33"/>
      <c r="H61" s="33"/>
      <c r="I61" s="33"/>
      <c r="J61" s="33">
        <f t="shared" si="2"/>
        <v>2000</v>
      </c>
      <c r="K61" s="49">
        <v>165</v>
      </c>
      <c r="L61" s="49">
        <f t="shared" si="4"/>
        <v>1835</v>
      </c>
      <c r="M61" s="53">
        <f t="shared" si="5"/>
        <v>1.4074632573186597E-3</v>
      </c>
      <c r="O61" s="58"/>
    </row>
    <row r="62" spans="1:15">
      <c r="A62" s="24">
        <v>187</v>
      </c>
      <c r="B62" s="20" t="s">
        <v>96</v>
      </c>
      <c r="C62" s="33">
        <v>20000</v>
      </c>
      <c r="D62" s="33"/>
      <c r="E62" s="33"/>
      <c r="F62" s="33"/>
      <c r="G62" s="33"/>
      <c r="H62" s="33"/>
      <c r="I62" s="33"/>
      <c r="J62" s="33">
        <f t="shared" si="2"/>
        <v>20000</v>
      </c>
      <c r="K62" s="49">
        <v>0</v>
      </c>
      <c r="L62" s="49">
        <f t="shared" si="4"/>
        <v>20000</v>
      </c>
      <c r="M62" s="53">
        <f t="shared" si="5"/>
        <v>0</v>
      </c>
      <c r="O62" s="58"/>
    </row>
    <row r="63" spans="1:15">
      <c r="A63" s="24">
        <v>188</v>
      </c>
      <c r="B63" s="20" t="s">
        <v>97</v>
      </c>
      <c r="C63" s="33">
        <v>60000</v>
      </c>
      <c r="D63" s="33"/>
      <c r="E63" s="33"/>
      <c r="F63" s="33"/>
      <c r="G63" s="33"/>
      <c r="H63" s="33"/>
      <c r="I63" s="33"/>
      <c r="J63" s="33">
        <f t="shared" si="2"/>
        <v>60000</v>
      </c>
      <c r="K63" s="49">
        <v>0</v>
      </c>
      <c r="L63" s="49">
        <f t="shared" si="4"/>
        <v>60000</v>
      </c>
      <c r="M63" s="53">
        <f t="shared" si="5"/>
        <v>0</v>
      </c>
      <c r="O63" s="58"/>
    </row>
    <row r="64" spans="1:15">
      <c r="A64" s="24">
        <v>189</v>
      </c>
      <c r="B64" s="20" t="s">
        <v>98</v>
      </c>
      <c r="C64" s="33">
        <v>285000</v>
      </c>
      <c r="D64" s="33"/>
      <c r="E64" s="33"/>
      <c r="F64" s="33"/>
      <c r="G64" s="33"/>
      <c r="H64" s="33"/>
      <c r="I64" s="33"/>
      <c r="J64" s="33">
        <f t="shared" si="2"/>
        <v>285000</v>
      </c>
      <c r="K64" s="49">
        <v>7948.57</v>
      </c>
      <c r="L64" s="49">
        <f t="shared" si="4"/>
        <v>277051.43</v>
      </c>
      <c r="M64" s="53">
        <f t="shared" si="5"/>
        <v>6.7801940746820472E-2</v>
      </c>
      <c r="O64" s="58"/>
    </row>
    <row r="65" spans="1:16">
      <c r="A65" s="24">
        <v>191</v>
      </c>
      <c r="B65" s="20" t="s">
        <v>99</v>
      </c>
      <c r="C65" s="33">
        <v>11250</v>
      </c>
      <c r="D65" s="33"/>
      <c r="E65" s="33"/>
      <c r="F65" s="76"/>
      <c r="G65" s="33"/>
      <c r="H65" s="33"/>
      <c r="I65" s="33"/>
      <c r="J65" s="33">
        <f t="shared" si="2"/>
        <v>11250</v>
      </c>
      <c r="K65" s="49">
        <v>0</v>
      </c>
      <c r="L65" s="49">
        <f t="shared" si="4"/>
        <v>11250</v>
      </c>
      <c r="M65" s="53">
        <f t="shared" si="5"/>
        <v>0</v>
      </c>
      <c r="O65" s="58"/>
    </row>
    <row r="66" spans="1:16">
      <c r="A66" s="24">
        <v>194</v>
      </c>
      <c r="B66" s="20" t="s">
        <v>148</v>
      </c>
      <c r="C66" s="33">
        <v>5000</v>
      </c>
      <c r="D66" s="33"/>
      <c r="E66" s="33"/>
      <c r="F66" s="33"/>
      <c r="G66" s="33"/>
      <c r="H66" s="33"/>
      <c r="I66" s="33"/>
      <c r="J66" s="33">
        <f t="shared" si="2"/>
        <v>5000</v>
      </c>
      <c r="K66" s="49">
        <v>65.430000000000007</v>
      </c>
      <c r="L66" s="49">
        <f t="shared" si="4"/>
        <v>4934.57</v>
      </c>
      <c r="M66" s="53">
        <f t="shared" si="5"/>
        <v>5.5812315712945398E-4</v>
      </c>
      <c r="O66" s="58"/>
    </row>
    <row r="67" spans="1:16">
      <c r="A67" s="24">
        <v>195</v>
      </c>
      <c r="B67" s="20" t="s">
        <v>34</v>
      </c>
      <c r="C67" s="33">
        <v>10000</v>
      </c>
      <c r="D67" s="33"/>
      <c r="E67" s="33"/>
      <c r="F67" s="33"/>
      <c r="G67" s="33"/>
      <c r="H67" s="33"/>
      <c r="I67" s="33"/>
      <c r="J67" s="33">
        <f t="shared" si="2"/>
        <v>10000</v>
      </c>
      <c r="K67" s="49">
        <v>10.199999999999999</v>
      </c>
      <c r="L67" s="49">
        <f t="shared" si="4"/>
        <v>9989.7999999999993</v>
      </c>
      <c r="M67" s="53">
        <f t="shared" si="5"/>
        <v>8.7006819543335322E-5</v>
      </c>
      <c r="O67" s="58"/>
    </row>
    <row r="68" spans="1:16">
      <c r="A68" s="24">
        <v>196</v>
      </c>
      <c r="B68" s="20" t="s">
        <v>100</v>
      </c>
      <c r="C68" s="33">
        <v>20000</v>
      </c>
      <c r="D68" s="33"/>
      <c r="E68" s="33"/>
      <c r="F68" s="33"/>
      <c r="G68" s="33"/>
      <c r="H68" s="33"/>
      <c r="I68" s="33"/>
      <c r="J68" s="33">
        <f t="shared" si="2"/>
        <v>20000</v>
      </c>
      <c r="K68" s="49">
        <v>0</v>
      </c>
      <c r="L68" s="49">
        <f t="shared" si="4"/>
        <v>20000</v>
      </c>
      <c r="M68" s="53">
        <f t="shared" si="5"/>
        <v>0</v>
      </c>
      <c r="O68" s="58"/>
    </row>
    <row r="69" spans="1:16">
      <c r="A69" s="24">
        <v>199</v>
      </c>
      <c r="B69" s="20" t="s">
        <v>55</v>
      </c>
      <c r="C69" s="33">
        <v>25000</v>
      </c>
      <c r="D69" s="33"/>
      <c r="E69" s="33"/>
      <c r="F69" s="33"/>
      <c r="G69" s="33"/>
      <c r="H69" s="33"/>
      <c r="I69" s="33"/>
      <c r="J69" s="33">
        <f t="shared" si="2"/>
        <v>25000</v>
      </c>
      <c r="K69" s="49">
        <v>83</v>
      </c>
      <c r="L69" s="49">
        <f t="shared" si="4"/>
        <v>24917</v>
      </c>
      <c r="M69" s="53">
        <f t="shared" si="5"/>
        <v>7.0799666883302273E-4</v>
      </c>
      <c r="O69" s="58"/>
    </row>
    <row r="70" spans="1:16">
      <c r="A70" s="24"/>
      <c r="B70" s="20"/>
      <c r="C70" s="33"/>
      <c r="D70" s="33"/>
      <c r="E70" s="33"/>
      <c r="F70" s="33"/>
      <c r="G70" s="33"/>
      <c r="H70" s="33"/>
      <c r="I70" s="33"/>
      <c r="J70" s="33"/>
      <c r="K70" s="81"/>
      <c r="L70" s="49"/>
      <c r="M70" s="53"/>
      <c r="O70" s="58"/>
    </row>
    <row r="71" spans="1:16">
      <c r="A71" s="23">
        <v>2</v>
      </c>
      <c r="B71" s="23" t="s">
        <v>11</v>
      </c>
      <c r="C71" s="33"/>
      <c r="D71" s="33"/>
      <c r="E71" s="33"/>
      <c r="F71" s="33"/>
      <c r="G71" s="33"/>
      <c r="H71" s="33"/>
      <c r="I71" s="33"/>
      <c r="J71" s="33"/>
      <c r="K71" s="83"/>
      <c r="L71" s="49"/>
      <c r="M71" s="53"/>
      <c r="O71" s="58"/>
    </row>
    <row r="72" spans="1:16">
      <c r="A72" s="24">
        <v>211</v>
      </c>
      <c r="B72" s="20" t="s">
        <v>23</v>
      </c>
      <c r="C72" s="33">
        <v>111400</v>
      </c>
      <c r="D72" s="33"/>
      <c r="E72" s="33"/>
      <c r="F72" s="33"/>
      <c r="G72" s="33"/>
      <c r="H72" s="33"/>
      <c r="I72" s="33"/>
      <c r="J72" s="33">
        <f t="shared" ref="J72:J97" si="8">C72+D72-E72+F72-G72+H72-I72</f>
        <v>111400</v>
      </c>
      <c r="K72" s="49">
        <v>3976.3</v>
      </c>
      <c r="L72" s="49">
        <f t="shared" ref="L72:L97" si="9">J72-K72</f>
        <v>107423.7</v>
      </c>
      <c r="M72" s="53">
        <f t="shared" ref="M72:M97" si="10">K72/$K$114</f>
        <v>3.3918158485310219E-2</v>
      </c>
      <c r="O72" s="58"/>
    </row>
    <row r="73" spans="1:16" hidden="1">
      <c r="A73" s="120">
        <v>219</v>
      </c>
      <c r="B73" s="20" t="s">
        <v>24</v>
      </c>
      <c r="C73" s="33">
        <v>0</v>
      </c>
      <c r="D73" s="33"/>
      <c r="E73" s="33"/>
      <c r="F73" s="33"/>
      <c r="G73" s="33"/>
      <c r="H73" s="33"/>
      <c r="I73" s="33"/>
      <c r="J73" s="33">
        <f t="shared" si="8"/>
        <v>0</v>
      </c>
      <c r="K73" s="49"/>
      <c r="L73" s="49">
        <f t="shared" si="9"/>
        <v>0</v>
      </c>
      <c r="M73" s="53">
        <f t="shared" si="10"/>
        <v>0</v>
      </c>
      <c r="O73" s="58"/>
    </row>
    <row r="74" spans="1:16">
      <c r="A74" s="24">
        <v>232</v>
      </c>
      <c r="B74" s="20" t="s">
        <v>57</v>
      </c>
      <c r="C74" s="33">
        <v>1080</v>
      </c>
      <c r="D74" s="33"/>
      <c r="E74" s="33"/>
      <c r="F74" s="33"/>
      <c r="G74" s="33"/>
      <c r="H74" s="33"/>
      <c r="I74" s="33"/>
      <c r="J74" s="33">
        <f t="shared" si="8"/>
        <v>1080</v>
      </c>
      <c r="K74" s="49">
        <v>0</v>
      </c>
      <c r="L74" s="49">
        <f t="shared" si="9"/>
        <v>1080</v>
      </c>
      <c r="M74" s="53">
        <f t="shared" si="10"/>
        <v>0</v>
      </c>
      <c r="O74" s="58"/>
    </row>
    <row r="75" spans="1:16">
      <c r="A75" s="24">
        <v>233</v>
      </c>
      <c r="B75" s="20" t="s">
        <v>70</v>
      </c>
      <c r="C75" s="33">
        <v>58000</v>
      </c>
      <c r="D75" s="33"/>
      <c r="E75" s="33"/>
      <c r="F75" s="33"/>
      <c r="G75" s="33"/>
      <c r="H75" s="33"/>
      <c r="I75" s="33"/>
      <c r="J75" s="33">
        <f t="shared" si="8"/>
        <v>58000</v>
      </c>
      <c r="K75" s="49">
        <v>0</v>
      </c>
      <c r="L75" s="49">
        <f t="shared" si="9"/>
        <v>58000</v>
      </c>
      <c r="M75" s="53">
        <f t="shared" si="10"/>
        <v>0</v>
      </c>
      <c r="O75" s="58"/>
      <c r="P75" s="87"/>
    </row>
    <row r="76" spans="1:16">
      <c r="A76" s="24">
        <v>241</v>
      </c>
      <c r="B76" s="20" t="s">
        <v>58</v>
      </c>
      <c r="C76" s="33">
        <v>6000</v>
      </c>
      <c r="D76" s="33"/>
      <c r="E76" s="33"/>
      <c r="F76" s="33"/>
      <c r="G76" s="33"/>
      <c r="H76" s="33"/>
      <c r="I76" s="33"/>
      <c r="J76" s="33">
        <f t="shared" si="8"/>
        <v>6000</v>
      </c>
      <c r="K76" s="49">
        <v>0</v>
      </c>
      <c r="L76" s="49">
        <f t="shared" si="9"/>
        <v>6000</v>
      </c>
      <c r="M76" s="53">
        <f t="shared" si="10"/>
        <v>0</v>
      </c>
      <c r="O76" s="58"/>
      <c r="P76" s="87"/>
    </row>
    <row r="77" spans="1:16">
      <c r="A77" s="24">
        <v>243</v>
      </c>
      <c r="B77" s="20" t="s">
        <v>43</v>
      </c>
      <c r="C77" s="33">
        <v>1100</v>
      </c>
      <c r="D77" s="33"/>
      <c r="E77" s="33"/>
      <c r="F77" s="33"/>
      <c r="G77" s="33"/>
      <c r="H77" s="33"/>
      <c r="I77" s="33"/>
      <c r="J77" s="33">
        <f t="shared" si="8"/>
        <v>1100</v>
      </c>
      <c r="K77" s="49">
        <v>0</v>
      </c>
      <c r="L77" s="49">
        <f t="shared" si="9"/>
        <v>1100</v>
      </c>
      <c r="M77" s="53">
        <f t="shared" si="10"/>
        <v>0</v>
      </c>
      <c r="O77" s="58"/>
    </row>
    <row r="78" spans="1:16">
      <c r="A78" s="24">
        <v>244</v>
      </c>
      <c r="B78" s="20" t="s">
        <v>44</v>
      </c>
      <c r="C78" s="33">
        <v>2255</v>
      </c>
      <c r="D78" s="33"/>
      <c r="E78" s="33"/>
      <c r="F78" s="33"/>
      <c r="G78" s="33"/>
      <c r="H78" s="33"/>
      <c r="I78" s="33"/>
      <c r="J78" s="33">
        <f t="shared" si="8"/>
        <v>2255</v>
      </c>
      <c r="K78" s="49">
        <v>31</v>
      </c>
      <c r="L78" s="49">
        <f t="shared" si="9"/>
        <v>2224</v>
      </c>
      <c r="M78" s="53">
        <f t="shared" si="10"/>
        <v>2.6443249076896029E-4</v>
      </c>
      <c r="O78" s="58"/>
    </row>
    <row r="79" spans="1:16">
      <c r="A79" s="24">
        <v>245</v>
      </c>
      <c r="B79" s="20" t="s">
        <v>45</v>
      </c>
      <c r="C79" s="33">
        <v>1300</v>
      </c>
      <c r="D79" s="33"/>
      <c r="E79" s="33"/>
      <c r="F79" s="33"/>
      <c r="G79" s="33"/>
      <c r="H79" s="33"/>
      <c r="I79" s="33"/>
      <c r="J79" s="33">
        <f t="shared" si="8"/>
        <v>1300</v>
      </c>
      <c r="K79" s="49">
        <v>0</v>
      </c>
      <c r="L79" s="49">
        <f t="shared" si="9"/>
        <v>1300</v>
      </c>
      <c r="M79" s="53">
        <f t="shared" si="10"/>
        <v>0</v>
      </c>
      <c r="O79" s="58"/>
    </row>
    <row r="80" spans="1:16">
      <c r="A80" s="24">
        <v>253</v>
      </c>
      <c r="B80" s="20" t="s">
        <v>37</v>
      </c>
      <c r="C80" s="33">
        <v>7500</v>
      </c>
      <c r="D80" s="33"/>
      <c r="E80" s="33"/>
      <c r="F80" s="33"/>
      <c r="G80" s="33"/>
      <c r="H80" s="33"/>
      <c r="I80" s="33"/>
      <c r="J80" s="33">
        <f t="shared" si="8"/>
        <v>7500</v>
      </c>
      <c r="K80" s="49">
        <v>0</v>
      </c>
      <c r="L80" s="49">
        <f t="shared" si="9"/>
        <v>7500</v>
      </c>
      <c r="M80" s="53">
        <f t="shared" si="10"/>
        <v>0</v>
      </c>
      <c r="O80" s="58"/>
    </row>
    <row r="81" spans="1:15">
      <c r="A81" s="24">
        <v>254</v>
      </c>
      <c r="B81" s="20" t="s">
        <v>46</v>
      </c>
      <c r="C81" s="33">
        <v>750</v>
      </c>
      <c r="D81" s="33"/>
      <c r="E81" s="33"/>
      <c r="F81" s="33"/>
      <c r="G81" s="33"/>
      <c r="H81" s="33"/>
      <c r="I81" s="33"/>
      <c r="J81" s="33">
        <f t="shared" si="8"/>
        <v>750</v>
      </c>
      <c r="K81" s="49">
        <v>0</v>
      </c>
      <c r="L81" s="49">
        <f t="shared" si="9"/>
        <v>750</v>
      </c>
      <c r="M81" s="53">
        <f t="shared" si="10"/>
        <v>0</v>
      </c>
      <c r="O81" s="58"/>
    </row>
    <row r="82" spans="1:15">
      <c r="A82" s="24">
        <v>262</v>
      </c>
      <c r="B82" s="20" t="s">
        <v>59</v>
      </c>
      <c r="C82" s="33">
        <v>9770</v>
      </c>
      <c r="D82" s="33"/>
      <c r="E82" s="33"/>
      <c r="F82" s="33"/>
      <c r="G82" s="33"/>
      <c r="H82" s="33"/>
      <c r="I82" s="33"/>
      <c r="J82" s="33">
        <f t="shared" si="8"/>
        <v>9770</v>
      </c>
      <c r="K82" s="49">
        <v>315</v>
      </c>
      <c r="L82" s="49">
        <f t="shared" si="9"/>
        <v>9455</v>
      </c>
      <c r="M82" s="53">
        <f t="shared" si="10"/>
        <v>2.686975309426532E-3</v>
      </c>
      <c r="O82" s="58"/>
    </row>
    <row r="83" spans="1:15">
      <c r="A83" s="24">
        <v>266</v>
      </c>
      <c r="B83" s="20" t="s">
        <v>60</v>
      </c>
      <c r="C83" s="33">
        <v>600</v>
      </c>
      <c r="D83" s="33"/>
      <c r="E83" s="33"/>
      <c r="F83" s="33"/>
      <c r="G83" s="33"/>
      <c r="H83" s="33"/>
      <c r="I83" s="33"/>
      <c r="J83" s="33">
        <f t="shared" si="8"/>
        <v>600</v>
      </c>
      <c r="K83" s="49">
        <v>0</v>
      </c>
      <c r="L83" s="49">
        <f t="shared" si="9"/>
        <v>600</v>
      </c>
      <c r="M83" s="53">
        <f t="shared" si="10"/>
        <v>0</v>
      </c>
      <c r="O83" s="58"/>
    </row>
    <row r="84" spans="1:15">
      <c r="A84" s="24">
        <v>267</v>
      </c>
      <c r="B84" s="20" t="s">
        <v>86</v>
      </c>
      <c r="C84" s="33">
        <v>22000</v>
      </c>
      <c r="D84" s="33"/>
      <c r="E84" s="33"/>
      <c r="F84" s="33"/>
      <c r="G84" s="33"/>
      <c r="H84" s="33"/>
      <c r="I84" s="33"/>
      <c r="J84" s="33">
        <f t="shared" si="8"/>
        <v>22000</v>
      </c>
      <c r="K84" s="49">
        <v>420</v>
      </c>
      <c r="L84" s="49">
        <f t="shared" si="9"/>
        <v>21580</v>
      </c>
      <c r="M84" s="53">
        <f t="shared" si="10"/>
        <v>3.5826337459020428E-3</v>
      </c>
      <c r="O84" s="58"/>
    </row>
    <row r="85" spans="1:15">
      <c r="A85" s="24">
        <v>268</v>
      </c>
      <c r="B85" s="20" t="s">
        <v>61</v>
      </c>
      <c r="C85" s="33">
        <v>794</v>
      </c>
      <c r="D85" s="33"/>
      <c r="E85" s="33"/>
      <c r="F85" s="33"/>
      <c r="G85" s="33"/>
      <c r="H85" s="33"/>
      <c r="I85" s="33"/>
      <c r="J85" s="33">
        <f t="shared" si="8"/>
        <v>794</v>
      </c>
      <c r="K85" s="49">
        <v>0</v>
      </c>
      <c r="L85" s="49">
        <f t="shared" si="9"/>
        <v>794</v>
      </c>
      <c r="M85" s="53">
        <f t="shared" si="10"/>
        <v>0</v>
      </c>
      <c r="O85" s="58"/>
    </row>
    <row r="86" spans="1:15">
      <c r="A86" s="24">
        <v>269</v>
      </c>
      <c r="B86" s="20" t="s">
        <v>62</v>
      </c>
      <c r="C86" s="33">
        <v>500</v>
      </c>
      <c r="D86" s="33"/>
      <c r="E86" s="33"/>
      <c r="F86" s="33"/>
      <c r="G86" s="33"/>
      <c r="H86" s="33"/>
      <c r="I86" s="33"/>
      <c r="J86" s="33">
        <f t="shared" si="8"/>
        <v>500</v>
      </c>
      <c r="K86" s="49">
        <v>0</v>
      </c>
      <c r="L86" s="49">
        <f t="shared" si="9"/>
        <v>500</v>
      </c>
      <c r="M86" s="53">
        <f t="shared" si="10"/>
        <v>0</v>
      </c>
      <c r="O86" s="58"/>
    </row>
    <row r="87" spans="1:15">
      <c r="A87" s="24">
        <v>271</v>
      </c>
      <c r="B87" s="20" t="s">
        <v>63</v>
      </c>
      <c r="C87" s="33">
        <v>160800</v>
      </c>
      <c r="D87" s="33"/>
      <c r="E87" s="33"/>
      <c r="F87" s="33"/>
      <c r="G87" s="33"/>
      <c r="H87" s="33"/>
      <c r="I87" s="33"/>
      <c r="J87" s="33">
        <f t="shared" si="8"/>
        <v>160800</v>
      </c>
      <c r="K87" s="49">
        <v>0</v>
      </c>
      <c r="L87" s="49">
        <f t="shared" si="9"/>
        <v>160800</v>
      </c>
      <c r="M87" s="53">
        <f t="shared" si="10"/>
        <v>0</v>
      </c>
      <c r="O87" s="58"/>
    </row>
    <row r="88" spans="1:15">
      <c r="A88" s="24">
        <v>283</v>
      </c>
      <c r="B88" s="20" t="s">
        <v>64</v>
      </c>
      <c r="C88" s="33">
        <v>1000</v>
      </c>
      <c r="D88" s="33"/>
      <c r="E88" s="33"/>
      <c r="F88" s="33"/>
      <c r="G88" s="33"/>
      <c r="H88" s="33"/>
      <c r="I88" s="33"/>
      <c r="J88" s="33">
        <f t="shared" si="8"/>
        <v>1000</v>
      </c>
      <c r="K88" s="49">
        <v>0</v>
      </c>
      <c r="L88" s="49">
        <f t="shared" si="9"/>
        <v>1000</v>
      </c>
      <c r="M88" s="53">
        <f t="shared" si="10"/>
        <v>0</v>
      </c>
      <c r="O88" s="58"/>
    </row>
    <row r="89" spans="1:15">
      <c r="A89" s="24">
        <v>284</v>
      </c>
      <c r="B89" s="20" t="s">
        <v>47</v>
      </c>
      <c r="C89" s="33">
        <v>7500</v>
      </c>
      <c r="D89" s="33"/>
      <c r="E89" s="33"/>
      <c r="F89" s="33"/>
      <c r="G89" s="33"/>
      <c r="H89" s="33"/>
      <c r="I89" s="33"/>
      <c r="J89" s="33">
        <f t="shared" si="8"/>
        <v>7500</v>
      </c>
      <c r="K89" s="49">
        <v>0</v>
      </c>
      <c r="L89" s="49">
        <f t="shared" si="9"/>
        <v>7500</v>
      </c>
      <c r="M89" s="53">
        <f t="shared" si="10"/>
        <v>0</v>
      </c>
      <c r="O89" s="58"/>
    </row>
    <row r="90" spans="1:15">
      <c r="A90" s="24">
        <v>285</v>
      </c>
      <c r="B90" s="20" t="s">
        <v>113</v>
      </c>
      <c r="C90" s="33">
        <v>807000</v>
      </c>
      <c r="D90" s="33"/>
      <c r="E90" s="33"/>
      <c r="F90" s="33"/>
      <c r="G90" s="33"/>
      <c r="H90" s="33"/>
      <c r="I90" s="33"/>
      <c r="J90" s="33">
        <f t="shared" si="8"/>
        <v>807000</v>
      </c>
      <c r="K90" s="49">
        <v>0</v>
      </c>
      <c r="L90" s="49">
        <f t="shared" si="9"/>
        <v>807000</v>
      </c>
      <c r="M90" s="53">
        <f t="shared" si="10"/>
        <v>0</v>
      </c>
      <c r="O90" s="58"/>
    </row>
    <row r="91" spans="1:15">
      <c r="A91" s="24">
        <v>291</v>
      </c>
      <c r="B91" s="20" t="s">
        <v>65</v>
      </c>
      <c r="C91" s="33">
        <v>9000</v>
      </c>
      <c r="D91" s="33"/>
      <c r="E91" s="33"/>
      <c r="F91" s="33"/>
      <c r="G91" s="33"/>
      <c r="H91" s="33"/>
      <c r="I91" s="33"/>
      <c r="J91" s="33">
        <f t="shared" si="8"/>
        <v>9000</v>
      </c>
      <c r="K91" s="49">
        <v>526.04</v>
      </c>
      <c r="L91" s="49">
        <f t="shared" si="9"/>
        <v>8473.9599999999991</v>
      </c>
      <c r="M91" s="53">
        <f t="shared" si="10"/>
        <v>4.4871634659388341E-3</v>
      </c>
      <c r="O91" s="58"/>
    </row>
    <row r="92" spans="1:15">
      <c r="A92" s="24">
        <v>292</v>
      </c>
      <c r="B92" s="20" t="s">
        <v>66</v>
      </c>
      <c r="C92" s="33">
        <v>1800</v>
      </c>
      <c r="D92" s="33"/>
      <c r="E92" s="33"/>
      <c r="F92" s="33"/>
      <c r="G92" s="33"/>
      <c r="H92" s="33"/>
      <c r="I92" s="33"/>
      <c r="J92" s="33">
        <f t="shared" si="8"/>
        <v>1800</v>
      </c>
      <c r="K92" s="49">
        <v>46.45</v>
      </c>
      <c r="L92" s="49">
        <f t="shared" si="9"/>
        <v>1753.55</v>
      </c>
      <c r="M92" s="53">
        <f t="shared" si="10"/>
        <v>3.9622223213607116E-4</v>
      </c>
      <c r="O92" s="58"/>
    </row>
    <row r="93" spans="1:15">
      <c r="A93" s="24">
        <v>294</v>
      </c>
      <c r="B93" s="20" t="s">
        <v>67</v>
      </c>
      <c r="C93" s="33">
        <v>140250</v>
      </c>
      <c r="D93" s="43"/>
      <c r="E93" s="43"/>
      <c r="F93" s="33"/>
      <c r="G93" s="33"/>
      <c r="H93" s="33"/>
      <c r="I93" s="33"/>
      <c r="J93" s="33">
        <f t="shared" si="8"/>
        <v>140250</v>
      </c>
      <c r="K93" s="49">
        <v>0</v>
      </c>
      <c r="L93" s="49">
        <f t="shared" si="9"/>
        <v>140250</v>
      </c>
      <c r="M93" s="53">
        <f t="shared" si="10"/>
        <v>0</v>
      </c>
      <c r="O93" s="58"/>
    </row>
    <row r="94" spans="1:15">
      <c r="A94" s="24">
        <v>296</v>
      </c>
      <c r="B94" s="20" t="s">
        <v>101</v>
      </c>
      <c r="C94" s="33">
        <v>500</v>
      </c>
      <c r="D94" s="33"/>
      <c r="E94" s="33"/>
      <c r="F94" s="33"/>
      <c r="G94" s="33"/>
      <c r="H94" s="33"/>
      <c r="I94" s="33"/>
      <c r="J94" s="33">
        <f t="shared" si="8"/>
        <v>500</v>
      </c>
      <c r="K94" s="49">
        <v>0</v>
      </c>
      <c r="L94" s="49">
        <f t="shared" si="9"/>
        <v>500</v>
      </c>
      <c r="M94" s="53">
        <f t="shared" si="10"/>
        <v>0</v>
      </c>
      <c r="O94" s="58"/>
    </row>
    <row r="95" spans="1:15">
      <c r="A95" s="24">
        <v>297</v>
      </c>
      <c r="B95" s="20" t="s">
        <v>68</v>
      </c>
      <c r="C95" s="33">
        <v>1000</v>
      </c>
      <c r="D95" s="33"/>
      <c r="E95" s="33"/>
      <c r="F95" s="33"/>
      <c r="G95" s="33"/>
      <c r="H95" s="33"/>
      <c r="I95" s="33"/>
      <c r="J95" s="33">
        <f t="shared" si="8"/>
        <v>1000</v>
      </c>
      <c r="K95" s="49">
        <v>0</v>
      </c>
      <c r="L95" s="49">
        <f t="shared" si="9"/>
        <v>1000</v>
      </c>
      <c r="M95" s="53">
        <f t="shared" si="10"/>
        <v>0</v>
      </c>
      <c r="O95" s="58"/>
    </row>
    <row r="96" spans="1:15">
      <c r="A96" s="24">
        <v>298</v>
      </c>
      <c r="B96" s="20" t="s">
        <v>25</v>
      </c>
      <c r="C96" s="33">
        <v>85460</v>
      </c>
      <c r="D96" s="43"/>
      <c r="E96" s="43"/>
      <c r="F96" s="33"/>
      <c r="G96" s="33"/>
      <c r="H96" s="33"/>
      <c r="I96" s="33"/>
      <c r="J96" s="33">
        <f t="shared" si="8"/>
        <v>85460</v>
      </c>
      <c r="K96" s="49">
        <v>0</v>
      </c>
      <c r="L96" s="49">
        <f t="shared" si="9"/>
        <v>85460</v>
      </c>
      <c r="M96" s="53">
        <f t="shared" si="10"/>
        <v>0</v>
      </c>
      <c r="O96" s="58"/>
    </row>
    <row r="97" spans="1:15">
      <c r="A97" s="24">
        <v>299</v>
      </c>
      <c r="B97" s="20" t="s">
        <v>69</v>
      </c>
      <c r="C97" s="33">
        <v>12000</v>
      </c>
      <c r="D97" s="43"/>
      <c r="E97" s="43"/>
      <c r="F97" s="33"/>
      <c r="G97" s="33"/>
      <c r="H97" s="33"/>
      <c r="I97" s="33"/>
      <c r="J97" s="33">
        <f t="shared" si="8"/>
        <v>12000</v>
      </c>
      <c r="K97" s="49">
        <v>293.25</v>
      </c>
      <c r="L97" s="49">
        <f t="shared" si="9"/>
        <v>11706.75</v>
      </c>
      <c r="M97" s="53">
        <f t="shared" si="10"/>
        <v>2.5014460618708904E-3</v>
      </c>
      <c r="O97" s="58"/>
    </row>
    <row r="98" spans="1:15">
      <c r="A98" s="24"/>
      <c r="B98" s="20"/>
      <c r="C98" s="33"/>
      <c r="D98" s="43"/>
      <c r="E98" s="43"/>
      <c r="F98" s="33"/>
      <c r="G98" s="33"/>
      <c r="H98" s="33"/>
      <c r="I98" s="33"/>
      <c r="J98" s="33"/>
      <c r="K98" s="81"/>
      <c r="L98" s="49"/>
      <c r="M98" s="53"/>
      <c r="O98" s="58"/>
    </row>
    <row r="99" spans="1:15">
      <c r="A99" s="23">
        <v>3</v>
      </c>
      <c r="B99" s="23" t="s">
        <v>129</v>
      </c>
      <c r="C99" s="33"/>
      <c r="D99" s="33"/>
      <c r="E99" s="33"/>
      <c r="F99" s="33"/>
      <c r="G99" s="33"/>
      <c r="H99" s="33"/>
      <c r="I99" s="33"/>
      <c r="J99" s="33"/>
      <c r="K99" s="83"/>
      <c r="L99" s="49"/>
      <c r="M99" s="53"/>
      <c r="O99" s="58"/>
    </row>
    <row r="100" spans="1:15">
      <c r="A100" s="24">
        <v>322</v>
      </c>
      <c r="B100" s="20" t="s">
        <v>83</v>
      </c>
      <c r="C100" s="33">
        <v>18000</v>
      </c>
      <c r="D100" s="33"/>
      <c r="E100" s="33"/>
      <c r="F100" s="33"/>
      <c r="G100" s="33"/>
      <c r="H100" s="33"/>
      <c r="I100" s="33"/>
      <c r="J100" s="33">
        <f t="shared" ref="J100:J105" si="11">C100+D100-E100+F100-G100+H100-I100</f>
        <v>18000</v>
      </c>
      <c r="K100" s="49">
        <v>0</v>
      </c>
      <c r="L100" s="49">
        <f t="shared" ref="L100:L105" si="12">J100-K100</f>
        <v>18000</v>
      </c>
      <c r="M100" s="53">
        <f t="shared" ref="M100:M105" si="13">K100/$K$114</f>
        <v>0</v>
      </c>
      <c r="O100" s="58"/>
    </row>
    <row r="101" spans="1:15" hidden="1">
      <c r="A101" s="120">
        <v>323</v>
      </c>
      <c r="B101" s="20" t="s">
        <v>119</v>
      </c>
      <c r="C101" s="33">
        <v>0</v>
      </c>
      <c r="D101" s="33"/>
      <c r="E101" s="33"/>
      <c r="F101" s="33"/>
      <c r="G101" s="33"/>
      <c r="H101" s="33"/>
      <c r="I101" s="33"/>
      <c r="J101" s="33">
        <f t="shared" si="11"/>
        <v>0</v>
      </c>
      <c r="K101" s="49"/>
      <c r="L101" s="49">
        <f t="shared" si="12"/>
        <v>0</v>
      </c>
      <c r="M101" s="53">
        <f t="shared" si="13"/>
        <v>0</v>
      </c>
    </row>
    <row r="102" spans="1:15">
      <c r="A102" s="24">
        <v>324</v>
      </c>
      <c r="B102" s="20" t="s">
        <v>120</v>
      </c>
      <c r="C102" s="33">
        <v>2147922.54</v>
      </c>
      <c r="D102" s="33"/>
      <c r="E102" s="33"/>
      <c r="F102" s="33"/>
      <c r="G102" s="33"/>
      <c r="H102" s="33"/>
      <c r="I102" s="33"/>
      <c r="J102" s="33">
        <f t="shared" si="11"/>
        <v>2147922.54</v>
      </c>
      <c r="K102" s="49">
        <v>0</v>
      </c>
      <c r="L102" s="49">
        <f t="shared" si="12"/>
        <v>2147922.54</v>
      </c>
      <c r="M102" s="53">
        <f t="shared" si="13"/>
        <v>0</v>
      </c>
    </row>
    <row r="103" spans="1:15">
      <c r="A103" s="24">
        <v>328</v>
      </c>
      <c r="B103" s="20" t="s">
        <v>84</v>
      </c>
      <c r="C103" s="33">
        <v>7500</v>
      </c>
      <c r="D103" s="33"/>
      <c r="E103" s="33"/>
      <c r="F103" s="33"/>
      <c r="G103" s="33"/>
      <c r="H103" s="33"/>
      <c r="I103" s="33"/>
      <c r="J103" s="33">
        <f t="shared" si="11"/>
        <v>7500</v>
      </c>
      <c r="K103" s="49">
        <v>0</v>
      </c>
      <c r="L103" s="49">
        <f t="shared" si="12"/>
        <v>7500</v>
      </c>
      <c r="M103" s="53">
        <f t="shared" si="13"/>
        <v>0</v>
      </c>
    </row>
    <row r="104" spans="1:15">
      <c r="A104" s="24">
        <v>329</v>
      </c>
      <c r="B104" s="20" t="s">
        <v>85</v>
      </c>
      <c r="C104" s="33">
        <v>10500</v>
      </c>
      <c r="D104" s="33"/>
      <c r="E104" s="33"/>
      <c r="F104" s="33"/>
      <c r="G104" s="33"/>
      <c r="H104" s="33"/>
      <c r="I104" s="33"/>
      <c r="J104" s="33">
        <f t="shared" ref="J104" si="14">C104+D104-E104+F104-G104+H104-I104</f>
        <v>10500</v>
      </c>
      <c r="K104" s="49">
        <v>0</v>
      </c>
      <c r="L104" s="49">
        <f t="shared" ref="L104" si="15">J104-K104</f>
        <v>10500</v>
      </c>
      <c r="M104" s="53">
        <f t="shared" si="13"/>
        <v>0</v>
      </c>
    </row>
    <row r="105" spans="1:15">
      <c r="A105" s="24">
        <v>332</v>
      </c>
      <c r="B105" s="20" t="s">
        <v>140</v>
      </c>
      <c r="C105" s="33">
        <v>2388358.86</v>
      </c>
      <c r="D105" s="33"/>
      <c r="E105" s="33"/>
      <c r="F105" s="33"/>
      <c r="G105" s="33"/>
      <c r="H105" s="33"/>
      <c r="I105" s="33"/>
      <c r="J105" s="33">
        <f t="shared" si="11"/>
        <v>2388358.86</v>
      </c>
      <c r="K105" s="49">
        <v>0</v>
      </c>
      <c r="L105" s="49">
        <f t="shared" si="12"/>
        <v>2388358.86</v>
      </c>
      <c r="M105" s="53">
        <f t="shared" si="13"/>
        <v>0</v>
      </c>
    </row>
    <row r="106" spans="1:15">
      <c r="A106" s="24"/>
      <c r="B106" s="20"/>
      <c r="C106" s="33"/>
      <c r="D106" s="33"/>
      <c r="E106" s="33"/>
      <c r="F106" s="33"/>
      <c r="G106" s="33"/>
      <c r="H106" s="33"/>
      <c r="I106" s="33"/>
      <c r="J106" s="33"/>
      <c r="K106" s="81"/>
      <c r="L106" s="49"/>
      <c r="M106" s="53"/>
      <c r="O106" s="12"/>
    </row>
    <row r="107" spans="1:15">
      <c r="A107" s="23">
        <v>4</v>
      </c>
      <c r="B107" s="23" t="s">
        <v>12</v>
      </c>
      <c r="C107" s="33"/>
      <c r="D107" s="33"/>
      <c r="E107" s="33"/>
      <c r="F107" s="33"/>
      <c r="G107" s="33"/>
      <c r="H107" s="33"/>
      <c r="I107" s="33"/>
      <c r="J107" s="33"/>
      <c r="K107" s="81"/>
      <c r="L107" s="49"/>
      <c r="M107" s="53"/>
      <c r="O107" s="12"/>
    </row>
    <row r="108" spans="1:15">
      <c r="A108" s="25">
        <v>413</v>
      </c>
      <c r="B108" s="26" t="s">
        <v>72</v>
      </c>
      <c r="C108" s="33">
        <v>20750</v>
      </c>
      <c r="D108" s="33"/>
      <c r="E108" s="33"/>
      <c r="F108" s="33"/>
      <c r="G108" s="33"/>
      <c r="H108" s="33"/>
      <c r="I108" s="33"/>
      <c r="J108" s="33">
        <f t="shared" ref="J108:J112" si="16">C108+D108-E108+F108-G108+H108-I108</f>
        <v>20750</v>
      </c>
      <c r="K108" s="49">
        <v>0</v>
      </c>
      <c r="L108" s="49">
        <f t="shared" ref="L108:L112" si="17">J108-K108</f>
        <v>20750</v>
      </c>
      <c r="M108" s="53">
        <f>K108/$K$114</f>
        <v>0</v>
      </c>
      <c r="O108" s="12"/>
    </row>
    <row r="109" spans="1:15">
      <c r="A109" s="25">
        <v>415</v>
      </c>
      <c r="B109" s="26" t="s">
        <v>73</v>
      </c>
      <c r="C109" s="33">
        <v>7600</v>
      </c>
      <c r="D109" s="33"/>
      <c r="E109" s="33"/>
      <c r="F109" s="33"/>
      <c r="G109" s="33"/>
      <c r="H109" s="33"/>
      <c r="I109" s="33"/>
      <c r="J109" s="33">
        <f t="shared" si="16"/>
        <v>7600</v>
      </c>
      <c r="K109" s="49">
        <v>0</v>
      </c>
      <c r="L109" s="49">
        <f t="shared" si="17"/>
        <v>7600</v>
      </c>
      <c r="M109" s="53">
        <f>K109/$K$114</f>
        <v>0</v>
      </c>
      <c r="O109" s="12"/>
    </row>
    <row r="110" spans="1:15">
      <c r="A110" s="25">
        <v>419</v>
      </c>
      <c r="B110" s="26" t="s">
        <v>74</v>
      </c>
      <c r="C110" s="33">
        <v>19200</v>
      </c>
      <c r="D110" s="33"/>
      <c r="E110" s="33"/>
      <c r="F110" s="33"/>
      <c r="G110" s="33"/>
      <c r="H110" s="33"/>
      <c r="I110" s="33"/>
      <c r="J110" s="33">
        <f t="shared" si="16"/>
        <v>19200</v>
      </c>
      <c r="K110" s="49">
        <v>600</v>
      </c>
      <c r="L110" s="49">
        <f t="shared" si="17"/>
        <v>18600</v>
      </c>
      <c r="M110" s="53">
        <f>K110/$K$114</f>
        <v>5.11804820843149E-3</v>
      </c>
      <c r="O110" s="12"/>
    </row>
    <row r="111" spans="1:15">
      <c r="A111" s="25">
        <v>453</v>
      </c>
      <c r="B111" s="26" t="s">
        <v>75</v>
      </c>
      <c r="C111" s="33">
        <v>255000</v>
      </c>
      <c r="D111" s="33"/>
      <c r="E111" s="33"/>
      <c r="F111" s="33"/>
      <c r="G111" s="33"/>
      <c r="H111" s="33"/>
      <c r="I111" s="33"/>
      <c r="J111" s="33">
        <f t="shared" si="16"/>
        <v>255000</v>
      </c>
      <c r="K111" s="49">
        <v>10000</v>
      </c>
      <c r="L111" s="49">
        <f t="shared" si="17"/>
        <v>245000</v>
      </c>
      <c r="M111" s="53">
        <f>K111/$K$114</f>
        <v>8.5300803473858156E-2</v>
      </c>
      <c r="O111" s="12"/>
    </row>
    <row r="112" spans="1:15">
      <c r="A112" s="25">
        <v>472</v>
      </c>
      <c r="B112" s="26" t="s">
        <v>105</v>
      </c>
      <c r="C112" s="33">
        <v>8200</v>
      </c>
      <c r="D112" s="33"/>
      <c r="E112" s="33"/>
      <c r="F112" s="33"/>
      <c r="G112" s="33"/>
      <c r="H112" s="33"/>
      <c r="I112" s="33"/>
      <c r="J112" s="33">
        <f t="shared" si="16"/>
        <v>8200</v>
      </c>
      <c r="K112" s="49">
        <v>0</v>
      </c>
      <c r="L112" s="49">
        <f t="shared" si="17"/>
        <v>8200</v>
      </c>
      <c r="M112" s="53">
        <f>K112/$K$114</f>
        <v>0</v>
      </c>
      <c r="O112" s="12"/>
    </row>
    <row r="113" spans="1:15" ht="20.25" customHeight="1" thickBot="1">
      <c r="A113" s="22"/>
      <c r="B113" s="64"/>
      <c r="C113" s="18"/>
      <c r="D113" s="33"/>
      <c r="E113" s="33"/>
      <c r="F113" s="44"/>
      <c r="G113" s="44"/>
      <c r="H113" s="44"/>
      <c r="I113" s="44"/>
      <c r="J113" s="18"/>
      <c r="K113" s="84"/>
      <c r="L113" s="50"/>
      <c r="M113" s="53"/>
      <c r="O113" s="12"/>
    </row>
    <row r="114" spans="1:15" ht="20.25" customHeight="1" thickBot="1">
      <c r="A114" s="65"/>
      <c r="B114" s="8" t="s">
        <v>7</v>
      </c>
      <c r="C114" s="94">
        <f>SUM(C21:C113)</f>
        <v>10577202.25</v>
      </c>
      <c r="D114" s="94">
        <f>SUM(D21:D113)</f>
        <v>0</v>
      </c>
      <c r="E114" s="94">
        <f>SUM(E21:E113)</f>
        <v>0</v>
      </c>
      <c r="F114" s="94">
        <f t="shared" ref="F114:L114" si="18">SUM(F21:F113)</f>
        <v>0</v>
      </c>
      <c r="G114" s="94">
        <f t="shared" si="18"/>
        <v>0</v>
      </c>
      <c r="H114" s="94">
        <f t="shared" si="18"/>
        <v>0</v>
      </c>
      <c r="I114" s="94">
        <f t="shared" si="18"/>
        <v>0</v>
      </c>
      <c r="J114" s="94">
        <f t="shared" si="18"/>
        <v>10577202.25</v>
      </c>
      <c r="K114" s="97">
        <f>ROUND((SUM(K21:K113)),2)</f>
        <v>117232.19</v>
      </c>
      <c r="L114" s="94">
        <f t="shared" si="18"/>
        <v>10459970.060000001</v>
      </c>
      <c r="M114" s="98">
        <f>K114/K114</f>
        <v>1</v>
      </c>
      <c r="O114" s="12"/>
    </row>
    <row r="115" spans="1:15" ht="20.25" customHeight="1">
      <c r="A115" s="66"/>
      <c r="B115" s="13"/>
      <c r="C115" s="14"/>
      <c r="D115" s="14"/>
      <c r="E115" s="14"/>
      <c r="F115" s="14"/>
      <c r="G115" s="27"/>
      <c r="H115" s="27"/>
      <c r="I115" s="14"/>
      <c r="J115" s="14"/>
      <c r="K115" s="85"/>
      <c r="L115" s="14"/>
      <c r="M115" s="15"/>
      <c r="O115" s="12"/>
    </row>
    <row r="116" spans="1:15" ht="20.25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85"/>
      <c r="L116" s="14"/>
      <c r="M116" s="15"/>
      <c r="O116" s="12"/>
    </row>
    <row r="117" spans="1:15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16"/>
      <c r="K117" s="86"/>
      <c r="L117" s="10"/>
      <c r="M117" s="11"/>
    </row>
    <row r="118" spans="1:15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16"/>
      <c r="K118" s="86"/>
      <c r="L118" s="10"/>
      <c r="M118" s="11"/>
    </row>
    <row r="119" spans="1:15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16"/>
      <c r="K119" s="86"/>
      <c r="L119" s="10"/>
      <c r="M119" s="11"/>
      <c r="O119" s="3"/>
    </row>
    <row r="120" spans="1:15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16"/>
      <c r="K120" s="86"/>
      <c r="L120" s="10"/>
      <c r="M120" s="11"/>
    </row>
    <row r="121" spans="1:15" s="12" customFormat="1">
      <c r="A121" s="105" t="s">
        <v>108</v>
      </c>
      <c r="B121" s="35"/>
      <c r="C121" s="101"/>
      <c r="D121" s="9"/>
      <c r="E121" s="9"/>
      <c r="G121" s="41"/>
      <c r="H121" s="41"/>
      <c r="I121" s="41"/>
      <c r="J121" s="16"/>
      <c r="K121" s="86"/>
      <c r="L121" s="10"/>
      <c r="M121" s="11"/>
    </row>
    <row r="122" spans="1:15" s="12" customFormat="1">
      <c r="A122" s="106" t="s">
        <v>136</v>
      </c>
      <c r="B122" s="36"/>
      <c r="C122" s="101">
        <v>656637.59</v>
      </c>
      <c r="D122" s="9"/>
      <c r="E122" s="67"/>
      <c r="G122" s="41"/>
      <c r="H122" s="41"/>
      <c r="I122" s="41"/>
      <c r="J122" s="16"/>
      <c r="K122" s="86"/>
      <c r="L122" s="10"/>
      <c r="M122" s="11"/>
      <c r="O122" s="3"/>
    </row>
    <row r="123" spans="1:15" s="12" customFormat="1">
      <c r="A123" s="106" t="s">
        <v>76</v>
      </c>
      <c r="B123" s="36"/>
      <c r="C123" s="101">
        <f>K18</f>
        <v>209783.03</v>
      </c>
      <c r="D123" s="9"/>
      <c r="E123" s="67"/>
      <c r="G123" s="41"/>
      <c r="H123" s="41"/>
      <c r="I123" s="77"/>
      <c r="J123" s="16"/>
      <c r="K123" s="86"/>
      <c r="L123" s="10"/>
      <c r="M123" s="11"/>
      <c r="O123" s="3"/>
    </row>
    <row r="124" spans="1:15" s="12" customFormat="1">
      <c r="A124" s="106" t="s">
        <v>87</v>
      </c>
      <c r="B124" s="36"/>
      <c r="C124" s="122">
        <f>-K114</f>
        <v>-117232.19</v>
      </c>
      <c r="D124" s="9"/>
      <c r="E124" s="67"/>
      <c r="G124" s="41"/>
      <c r="H124" s="41"/>
      <c r="I124" s="41"/>
      <c r="J124" s="16"/>
      <c r="K124" s="86"/>
      <c r="L124" s="10"/>
      <c r="M124" s="11"/>
      <c r="O124" s="3"/>
    </row>
    <row r="125" spans="1:15" s="12" customFormat="1" ht="18" customHeight="1">
      <c r="A125" s="107" t="s">
        <v>107</v>
      </c>
      <c r="B125" s="36"/>
      <c r="C125" s="119">
        <f>SUM(C122:C124)</f>
        <v>749188.42999999993</v>
      </c>
      <c r="D125" s="68"/>
      <c r="E125" s="67"/>
      <c r="G125" s="41"/>
      <c r="H125" s="41"/>
      <c r="I125" s="41"/>
      <c r="J125" s="16"/>
      <c r="K125" s="86"/>
      <c r="L125" s="10"/>
      <c r="M125" s="11"/>
      <c r="O125" s="3"/>
    </row>
    <row r="126" spans="1:15" s="12" customFormat="1" ht="5.0999999999999996" customHeight="1">
      <c r="A126" s="106"/>
      <c r="B126" s="36"/>
      <c r="C126" s="101"/>
      <c r="D126" s="9"/>
      <c r="E126" s="9"/>
      <c r="G126" s="48"/>
      <c r="H126" s="48"/>
      <c r="I126" s="41"/>
      <c r="J126" s="16"/>
      <c r="K126" s="86"/>
      <c r="L126" s="10"/>
      <c r="M126" s="11"/>
      <c r="O126" s="3"/>
    </row>
    <row r="127" spans="1:15" s="12" customFormat="1" ht="5.0999999999999996" customHeight="1">
      <c r="A127" s="106"/>
      <c r="B127" s="36"/>
      <c r="C127" s="101"/>
      <c r="D127" s="9"/>
      <c r="E127" s="9"/>
      <c r="G127" s="41"/>
      <c r="H127" s="41"/>
      <c r="I127" s="41"/>
      <c r="J127" s="16"/>
      <c r="K127" s="86"/>
      <c r="L127" s="10"/>
      <c r="M127" s="11"/>
      <c r="O127" s="3"/>
    </row>
    <row r="128" spans="1:15" s="12" customFormat="1" ht="6.95" customHeight="1">
      <c r="A128" s="106"/>
      <c r="B128" s="36"/>
      <c r="C128" s="101"/>
      <c r="D128" s="9"/>
      <c r="E128" s="9"/>
      <c r="G128" s="41"/>
      <c r="H128" s="41"/>
      <c r="I128" s="41"/>
      <c r="J128" s="16"/>
      <c r="K128" s="86"/>
      <c r="L128" s="10"/>
      <c r="M128" s="11"/>
      <c r="O128" s="3"/>
    </row>
    <row r="129" spans="1:15" s="12" customFormat="1">
      <c r="A129" s="107" t="s">
        <v>135</v>
      </c>
      <c r="B129" s="39"/>
      <c r="C129" s="101">
        <f>C125+C126</f>
        <v>749188.42999999993</v>
      </c>
      <c r="D129" s="69"/>
      <c r="G129" s="41"/>
      <c r="H129" s="41"/>
      <c r="I129" s="41"/>
      <c r="J129" s="16"/>
      <c r="K129" s="86"/>
      <c r="L129" s="10"/>
      <c r="M129" s="11"/>
      <c r="O129" s="3"/>
    </row>
    <row r="130" spans="1:15" s="12" customFormat="1" ht="6.95" customHeight="1" thickBot="1">
      <c r="A130" s="108"/>
      <c r="B130" s="38"/>
      <c r="C130" s="104"/>
      <c r="D130" s="69"/>
      <c r="G130" s="41"/>
      <c r="H130" s="41"/>
      <c r="I130" s="41"/>
      <c r="J130" s="16"/>
      <c r="K130" s="86"/>
      <c r="L130" s="10"/>
      <c r="M130" s="11"/>
      <c r="O130" s="3"/>
    </row>
    <row r="131" spans="1:15">
      <c r="A131" s="17"/>
      <c r="C131" s="45"/>
      <c r="D131" s="69"/>
      <c r="G131" s="45"/>
      <c r="H131" s="45"/>
      <c r="I131" s="45"/>
      <c r="J131" s="45"/>
      <c r="L131" s="45"/>
      <c r="M131" s="45"/>
    </row>
    <row r="132" spans="1:15">
      <c r="A132" s="17"/>
      <c r="B132" s="17"/>
      <c r="C132" s="45"/>
      <c r="D132" s="69"/>
      <c r="G132" s="45"/>
      <c r="H132" s="45"/>
      <c r="I132" s="45"/>
      <c r="J132" s="45"/>
      <c r="L132" s="45"/>
      <c r="M132" s="45"/>
    </row>
    <row r="133" spans="1:15">
      <c r="A133" s="13"/>
      <c r="B133" s="70" t="s">
        <v>137</v>
      </c>
      <c r="C133" s="45"/>
      <c r="D133" s="69"/>
      <c r="E133" s="40"/>
      <c r="G133" s="45"/>
      <c r="H133" s="45"/>
      <c r="J133" s="45"/>
      <c r="L133" s="45"/>
      <c r="M133" s="45"/>
    </row>
    <row r="134" spans="1:15">
      <c r="A134" s="13"/>
      <c r="B134" s="17"/>
      <c r="C134" s="45"/>
      <c r="D134" s="69"/>
      <c r="E134" s="45"/>
      <c r="F134" s="45"/>
      <c r="G134" s="45"/>
      <c r="H134" s="45"/>
      <c r="I134" s="45"/>
      <c r="J134" s="45"/>
      <c r="L134" s="45"/>
      <c r="M134" s="45"/>
    </row>
    <row r="135" spans="1:15">
      <c r="A135" s="13"/>
      <c r="B135" s="17"/>
      <c r="C135" s="45"/>
      <c r="D135" s="69"/>
      <c r="E135" s="45"/>
      <c r="F135" s="45"/>
      <c r="G135" s="45"/>
      <c r="H135" s="45"/>
      <c r="I135" s="45"/>
      <c r="J135" s="45"/>
      <c r="L135" s="45"/>
      <c r="M135" s="45"/>
    </row>
    <row r="136" spans="1:15">
      <c r="A136" s="13"/>
      <c r="B136" s="17"/>
      <c r="C136" s="45"/>
      <c r="D136" s="69"/>
      <c r="E136" s="45"/>
      <c r="F136" s="45"/>
      <c r="G136" s="45"/>
      <c r="H136" s="45"/>
      <c r="I136" s="45"/>
      <c r="J136" s="45"/>
      <c r="L136" s="45"/>
      <c r="M136" s="45"/>
    </row>
    <row r="137" spans="1:15">
      <c r="A137" s="13"/>
      <c r="B137" s="17"/>
      <c r="C137" s="45"/>
      <c r="E137" s="45"/>
      <c r="F137" s="45"/>
      <c r="G137" s="45"/>
      <c r="H137" s="45"/>
      <c r="I137" s="45"/>
      <c r="J137" s="45"/>
      <c r="L137" s="45"/>
      <c r="M137" s="45"/>
    </row>
    <row r="138" spans="1:15">
      <c r="A138" s="66"/>
      <c r="B138" s="17"/>
      <c r="C138" s="45"/>
      <c r="D138" s="16"/>
      <c r="E138" s="40"/>
      <c r="F138" s="40"/>
      <c r="G138" s="45"/>
      <c r="H138" s="45"/>
      <c r="I138" s="45"/>
      <c r="J138" s="45"/>
      <c r="L138" s="45"/>
      <c r="M138" s="45"/>
    </row>
    <row r="139" spans="1:15">
      <c r="A139" s="66"/>
      <c r="B139" s="45"/>
      <c r="C139" s="45"/>
      <c r="D139" s="45"/>
      <c r="E139" s="40"/>
      <c r="F139" s="40"/>
      <c r="G139" s="45"/>
      <c r="H139" s="45"/>
      <c r="I139" s="45"/>
      <c r="J139" s="45"/>
      <c r="L139" s="45"/>
      <c r="M139" s="45"/>
    </row>
    <row r="140" spans="1:15" ht="18.75">
      <c r="A140" s="66"/>
      <c r="B140" s="46" t="s">
        <v>124</v>
      </c>
      <c r="D140" s="112" t="s">
        <v>138</v>
      </c>
      <c r="E140" s="46"/>
      <c r="F140" s="46"/>
      <c r="I140" s="113" t="s">
        <v>127</v>
      </c>
      <c r="K140" s="88"/>
      <c r="L140" s="51"/>
      <c r="M140" s="46"/>
    </row>
    <row r="141" spans="1:15" s="115" customFormat="1" ht="15.75">
      <c r="A141" s="114"/>
      <c r="B141" s="56" t="s">
        <v>125</v>
      </c>
      <c r="D141" s="116" t="s">
        <v>126</v>
      </c>
      <c r="E141" s="56"/>
      <c r="F141" s="56"/>
      <c r="I141" s="117" t="s">
        <v>123</v>
      </c>
      <c r="K141" s="118"/>
      <c r="L141" s="56"/>
      <c r="M141" s="56"/>
    </row>
    <row r="142" spans="1:15" ht="18.75">
      <c r="A142" s="66"/>
      <c r="B142" s="47"/>
      <c r="C142" s="71"/>
      <c r="D142" s="51"/>
      <c r="E142" s="47"/>
      <c r="F142" s="47"/>
      <c r="G142" s="47"/>
      <c r="H142" s="47"/>
      <c r="I142" s="51"/>
      <c r="J142" s="71"/>
      <c r="K142" s="88"/>
      <c r="L142" s="47"/>
      <c r="M142" s="47"/>
    </row>
    <row r="143" spans="1:15" ht="18.75">
      <c r="A143" s="66"/>
      <c r="B143" s="47"/>
      <c r="C143" s="47"/>
      <c r="D143" s="47"/>
      <c r="F143" s="47"/>
      <c r="G143" s="47"/>
      <c r="H143" s="47"/>
      <c r="I143" s="112"/>
      <c r="J143" s="47"/>
      <c r="K143" s="88"/>
      <c r="M143" s="47"/>
    </row>
  </sheetData>
  <mergeCells count="3">
    <mergeCell ref="K6:K7"/>
    <mergeCell ref="A6:A7"/>
    <mergeCell ref="B6:B7"/>
  </mergeCells>
  <printOptions horizontalCentered="1"/>
  <pageMargins left="0" right="0" top="0.78740157480314965" bottom="0.86614173228346458" header="0.31496062992125984" footer="0.31496062992125984"/>
  <pageSetup scale="55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showGridLines="0" zoomScale="75" zoomScaleNormal="75" workbookViewId="0">
      <selection activeCell="A13" sqref="A13"/>
    </sheetView>
  </sheetViews>
  <sheetFormatPr baseColWidth="10" defaultColWidth="11.42578125" defaultRowHeight="18"/>
  <cols>
    <col min="1" max="1" width="10.7109375" style="3" customWidth="1"/>
    <col min="2" max="2" width="64.7109375" style="3" customWidth="1"/>
    <col min="3" max="3" width="19.5703125" style="3" customWidth="1"/>
    <col min="4" max="9" width="16.42578125" style="3" customWidth="1"/>
    <col min="10" max="10" width="19.28515625" style="3" customWidth="1"/>
    <col min="11" max="11" width="19.28515625" style="87" customWidth="1"/>
    <col min="12" max="12" width="19.28515625" style="3" customWidth="1"/>
    <col min="13" max="13" width="12.7109375" style="3" customWidth="1"/>
    <col min="14" max="14" width="7" style="3" customWidth="1"/>
    <col min="15" max="15" width="18.7109375" style="3" customWidth="1"/>
    <col min="16" max="16" width="15.42578125" style="3" bestFit="1" customWidth="1"/>
    <col min="17" max="16384" width="11.42578125" style="3"/>
  </cols>
  <sheetData>
    <row r="1" spans="1:1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80"/>
      <c r="L1" s="42"/>
      <c r="M1" s="42"/>
    </row>
    <row r="2" spans="1:1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80"/>
      <c r="L2" s="42"/>
      <c r="M2" s="42"/>
    </row>
    <row r="3" spans="1:15">
      <c r="A3" s="42" t="s">
        <v>181</v>
      </c>
      <c r="B3" s="42"/>
      <c r="C3" s="42"/>
      <c r="D3" s="42"/>
      <c r="E3" s="42"/>
      <c r="F3" s="42"/>
      <c r="G3" s="42"/>
      <c r="H3" s="42"/>
      <c r="I3" s="42"/>
      <c r="J3" s="42"/>
      <c r="K3" s="80"/>
      <c r="L3" s="42"/>
      <c r="M3" s="42"/>
    </row>
    <row r="4" spans="1:15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80"/>
      <c r="L4" s="42"/>
      <c r="M4" s="42"/>
    </row>
    <row r="5" spans="1:15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80"/>
      <c r="L5" s="42"/>
      <c r="M5" s="42"/>
    </row>
    <row r="6" spans="1:15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1" t="s">
        <v>1</v>
      </c>
      <c r="K6" s="188" t="s">
        <v>2</v>
      </c>
      <c r="L6" s="2" t="s">
        <v>27</v>
      </c>
      <c r="M6" s="1" t="s">
        <v>29</v>
      </c>
    </row>
    <row r="7" spans="1:15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4" t="s">
        <v>4</v>
      </c>
      <c r="K7" s="189"/>
      <c r="L7" s="6" t="s">
        <v>28</v>
      </c>
      <c r="M7" s="7" t="s">
        <v>30</v>
      </c>
    </row>
    <row r="8" spans="1:15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81"/>
      <c r="L8" s="74"/>
      <c r="M8" s="43"/>
    </row>
    <row r="9" spans="1:15">
      <c r="A9" s="78"/>
      <c r="B9" s="79"/>
      <c r="C9" s="43"/>
      <c r="D9" s="43"/>
      <c r="E9" s="43"/>
      <c r="F9" s="43"/>
      <c r="G9" s="43"/>
      <c r="H9" s="43"/>
      <c r="I9" s="43"/>
      <c r="J9" s="43"/>
      <c r="K9" s="81"/>
      <c r="L9" s="74"/>
      <c r="M9" s="43"/>
      <c r="O9" s="58"/>
    </row>
    <row r="10" spans="1:15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33">
        <f t="shared" ref="J10:J17" si="0">C10+D10-E10+F10-G10+H10-I10</f>
        <v>656637.59</v>
      </c>
      <c r="K10" s="49">
        <v>0</v>
      </c>
      <c r="L10" s="74">
        <f t="shared" ref="L10:L15" si="1">J10-K10+I10</f>
        <v>656637.59</v>
      </c>
      <c r="M10" s="57">
        <f>K10/K18</f>
        <v>0</v>
      </c>
      <c r="O10" s="58"/>
    </row>
    <row r="11" spans="1:15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33">
        <f t="shared" si="0"/>
        <v>90000</v>
      </c>
      <c r="K11" s="49">
        <f>6885+7250+5010+5735+2005+6610+400+7470+800+3895+935+2335+600+2438+805+2809+1200+1914+200+1508+250</f>
        <v>61054</v>
      </c>
      <c r="L11" s="72">
        <f t="shared" si="1"/>
        <v>28946</v>
      </c>
      <c r="M11" s="57">
        <f>K11/K18</f>
        <v>1.6631860229980755E-2</v>
      </c>
      <c r="O11" s="58"/>
    </row>
    <row r="12" spans="1:15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33">
        <f t="shared" si="0"/>
        <v>4000</v>
      </c>
      <c r="K12" s="49">
        <f>154.29+74.21+47.84+63.83+246.6+43.51+44.38+83.46+31.93+32.43</f>
        <v>822.4799999999999</v>
      </c>
      <c r="L12" s="72">
        <f t="shared" si="1"/>
        <v>3177.52</v>
      </c>
      <c r="M12" s="57">
        <f>K12/K18</f>
        <v>2.2405366400161448E-4</v>
      </c>
      <c r="O12" s="58"/>
    </row>
    <row r="13" spans="1:15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33">
        <f t="shared" si="0"/>
        <v>2345924.88</v>
      </c>
      <c r="K13" s="49">
        <f>195493.74+40518.88+404398.5+199964.08+198363.1+3864.56+199964.08+228755.24+228755.24+199964.08+199964.08</f>
        <v>2100005.58</v>
      </c>
      <c r="L13" s="72">
        <f t="shared" si="1"/>
        <v>245919.29999999981</v>
      </c>
      <c r="M13" s="57">
        <f>K13/K18</f>
        <v>0.57206733856487157</v>
      </c>
      <c r="O13" s="58"/>
    </row>
    <row r="14" spans="1:15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33">
        <f t="shared" si="0"/>
        <v>4496358.8600000003</v>
      </c>
      <c r="K14" s="49">
        <v>0</v>
      </c>
      <c r="L14" s="72">
        <f t="shared" si="1"/>
        <v>4496358.8600000003</v>
      </c>
      <c r="M14" s="57">
        <f>K14/K18</f>
        <v>0</v>
      </c>
      <c r="O14" s="58"/>
    </row>
    <row r="15" spans="1:15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33">
        <f t="shared" si="0"/>
        <v>2969280.92</v>
      </c>
      <c r="K15" s="49">
        <f>174488.09+436428.77+714931.38+46144.8+35496.86+19055.4+27315.53+13360.95+17442.43+4360</f>
        <v>1489024.21</v>
      </c>
      <c r="L15" s="74">
        <f t="shared" si="1"/>
        <v>1480256.71</v>
      </c>
      <c r="M15" s="57">
        <v>0</v>
      </c>
      <c r="O15" s="58"/>
    </row>
    <row r="16" spans="1:15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33">
        <f>C16+D16-E16+F16-G16+H16-I16</f>
        <v>15000</v>
      </c>
      <c r="K16" s="49">
        <v>20000</v>
      </c>
      <c r="L16" s="74">
        <f>J16-K16+I16</f>
        <v>-5000</v>
      </c>
      <c r="M16" s="57">
        <v>0</v>
      </c>
      <c r="O16" s="58"/>
    </row>
    <row r="17" spans="1:15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33">
        <f t="shared" si="0"/>
        <v>0</v>
      </c>
      <c r="K17" s="49">
        <v>0</v>
      </c>
      <c r="L17" s="75">
        <f>-K17+I17</f>
        <v>0</v>
      </c>
      <c r="M17" s="61">
        <f>K17/K18</f>
        <v>0</v>
      </c>
      <c r="O17" s="58"/>
    </row>
    <row r="18" spans="1:15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5">
        <f>ROUND((SUM(J10:J17)),2)</f>
        <v>10577202.25</v>
      </c>
      <c r="K18" s="95">
        <f>ROUND((SUM(K10:K17)),2)</f>
        <v>3670906.27</v>
      </c>
      <c r="L18" s="95">
        <f>ROUND((SUM(L10:L17)),2)</f>
        <v>6906295.9800000004</v>
      </c>
      <c r="M18" s="96">
        <f>SUM(M17:M17)</f>
        <v>0</v>
      </c>
      <c r="O18" s="58"/>
    </row>
    <row r="19" spans="1:15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82"/>
      <c r="L19" s="43"/>
      <c r="M19" s="43"/>
      <c r="O19" s="58"/>
    </row>
    <row r="20" spans="1:15">
      <c r="A20" s="78" t="s">
        <v>5</v>
      </c>
      <c r="B20" s="79" t="s">
        <v>102</v>
      </c>
      <c r="C20" s="43"/>
      <c r="D20" s="43"/>
      <c r="E20" s="43"/>
      <c r="F20" s="43"/>
      <c r="G20" s="43"/>
      <c r="H20" s="43"/>
      <c r="I20" s="43"/>
      <c r="J20" s="43"/>
      <c r="K20" s="82"/>
      <c r="L20" s="43"/>
      <c r="M20" s="43"/>
      <c r="O20" s="58"/>
    </row>
    <row r="21" spans="1:15">
      <c r="A21" s="23">
        <v>0</v>
      </c>
      <c r="B21" s="23" t="s">
        <v>9</v>
      </c>
      <c r="C21" s="33"/>
      <c r="D21" s="33"/>
      <c r="E21" s="33"/>
      <c r="F21" s="33"/>
      <c r="G21" s="33"/>
      <c r="H21" s="33"/>
      <c r="I21" s="33"/>
      <c r="J21" s="33"/>
      <c r="K21" s="81"/>
      <c r="L21" s="49"/>
      <c r="M21" s="53"/>
      <c r="O21" s="58"/>
    </row>
    <row r="22" spans="1:15">
      <c r="A22" s="19" t="s">
        <v>13</v>
      </c>
      <c r="B22" s="20" t="s">
        <v>79</v>
      </c>
      <c r="C22" s="33">
        <v>669886</v>
      </c>
      <c r="D22" s="33"/>
      <c r="E22" s="33"/>
      <c r="F22" s="33"/>
      <c r="G22" s="33"/>
      <c r="H22" s="33">
        <v>7500</v>
      </c>
      <c r="I22" s="33"/>
      <c r="J22" s="33">
        <f t="shared" ref="J22:J69" si="2">C22+D22-E22+F22-G22+H22-I22</f>
        <v>677386</v>
      </c>
      <c r="K22" s="49">
        <v>538674.06000000006</v>
      </c>
      <c r="L22" s="49">
        <f>J22-K22</f>
        <v>138711.93999999994</v>
      </c>
      <c r="M22" s="53">
        <f t="shared" ref="M22:M33" si="3">K22/$K$114</f>
        <v>0.14048442368557096</v>
      </c>
      <c r="N22" s="87"/>
      <c r="O22" s="58"/>
    </row>
    <row r="23" spans="1:15">
      <c r="A23" s="19" t="s">
        <v>31</v>
      </c>
      <c r="B23" s="20" t="s">
        <v>32</v>
      </c>
      <c r="C23" s="33">
        <v>4500</v>
      </c>
      <c r="D23" s="33"/>
      <c r="E23" s="33"/>
      <c r="F23" s="33"/>
      <c r="G23" s="33"/>
      <c r="H23" s="33"/>
      <c r="I23" s="33"/>
      <c r="J23" s="33">
        <f t="shared" si="2"/>
        <v>4500</v>
      </c>
      <c r="K23" s="49">
        <v>3750</v>
      </c>
      <c r="L23" s="49">
        <f t="shared" ref="L23:L69" si="4">J23-K23</f>
        <v>750</v>
      </c>
      <c r="M23" s="53">
        <f t="shared" si="3"/>
        <v>9.7798766998524311E-4</v>
      </c>
      <c r="N23" s="87"/>
      <c r="O23" s="58"/>
    </row>
    <row r="24" spans="1:15">
      <c r="A24" s="19" t="s">
        <v>14</v>
      </c>
      <c r="B24" s="20" t="s">
        <v>38</v>
      </c>
      <c r="C24" s="33">
        <v>112250</v>
      </c>
      <c r="D24" s="33"/>
      <c r="E24" s="33"/>
      <c r="F24" s="33"/>
      <c r="G24" s="33"/>
      <c r="H24" s="33">
        <v>1150</v>
      </c>
      <c r="I24" s="33"/>
      <c r="J24" s="33">
        <f t="shared" si="2"/>
        <v>113400</v>
      </c>
      <c r="K24" s="49">
        <v>80766.67</v>
      </c>
      <c r="L24" s="49">
        <f t="shared" si="4"/>
        <v>32633.33</v>
      </c>
      <c r="M24" s="53">
        <f t="shared" si="3"/>
        <v>2.1063681974871209E-2</v>
      </c>
      <c r="N24" s="87"/>
      <c r="O24" s="58"/>
    </row>
    <row r="25" spans="1:15" hidden="1">
      <c r="A25" s="19" t="s">
        <v>114</v>
      </c>
      <c r="B25" s="20" t="s">
        <v>115</v>
      </c>
      <c r="C25" s="33"/>
      <c r="D25" s="33"/>
      <c r="E25" s="33"/>
      <c r="F25" s="33"/>
      <c r="G25" s="33"/>
      <c r="H25" s="33"/>
      <c r="I25" s="33"/>
      <c r="J25" s="33">
        <f t="shared" si="2"/>
        <v>0</v>
      </c>
      <c r="K25" s="49"/>
      <c r="L25" s="49">
        <f t="shared" si="4"/>
        <v>0</v>
      </c>
      <c r="M25" s="53">
        <f t="shared" si="3"/>
        <v>0</v>
      </c>
      <c r="N25" s="87"/>
      <c r="O25" s="58"/>
    </row>
    <row r="26" spans="1:15">
      <c r="A26" s="19" t="s">
        <v>116</v>
      </c>
      <c r="B26" s="20" t="s">
        <v>117</v>
      </c>
      <c r="C26" s="33">
        <v>0</v>
      </c>
      <c r="D26" s="33"/>
      <c r="E26" s="33"/>
      <c r="F26" s="33"/>
      <c r="G26" s="33"/>
      <c r="H26" s="33"/>
      <c r="I26" s="33"/>
      <c r="J26" s="33">
        <f t="shared" si="2"/>
        <v>0</v>
      </c>
      <c r="K26" s="49">
        <v>0</v>
      </c>
      <c r="L26" s="49">
        <f t="shared" si="4"/>
        <v>0</v>
      </c>
      <c r="M26" s="53">
        <f t="shared" si="3"/>
        <v>0</v>
      </c>
      <c r="N26" s="87"/>
      <c r="O26" s="58"/>
    </row>
    <row r="27" spans="1:15">
      <c r="A27" s="19" t="s">
        <v>88</v>
      </c>
      <c r="B27" s="20" t="s">
        <v>89</v>
      </c>
      <c r="C27" s="33">
        <v>15400</v>
      </c>
      <c r="D27" s="33"/>
      <c r="E27" s="33"/>
      <c r="F27" s="33"/>
      <c r="G27" s="33"/>
      <c r="H27" s="33"/>
      <c r="I27" s="33"/>
      <c r="J27" s="33">
        <f t="shared" si="2"/>
        <v>15400</v>
      </c>
      <c r="K27" s="49">
        <v>5600</v>
      </c>
      <c r="L27" s="49">
        <f t="shared" si="4"/>
        <v>9800</v>
      </c>
      <c r="M27" s="53">
        <f t="shared" si="3"/>
        <v>1.4604615871779631E-3</v>
      </c>
      <c r="N27" s="87"/>
      <c r="O27" s="58"/>
    </row>
    <row r="28" spans="1:15">
      <c r="A28" s="19" t="s">
        <v>20</v>
      </c>
      <c r="B28" s="20" t="s">
        <v>21</v>
      </c>
      <c r="C28" s="33">
        <v>31068.6</v>
      </c>
      <c r="D28" s="33"/>
      <c r="E28" s="33"/>
      <c r="F28" s="33"/>
      <c r="G28" s="33"/>
      <c r="H28" s="33"/>
      <c r="I28" s="33"/>
      <c r="J28" s="33">
        <f t="shared" si="2"/>
        <v>31068.6</v>
      </c>
      <c r="K28" s="49">
        <v>30488.329999999998</v>
      </c>
      <c r="L28" s="49">
        <f t="shared" si="4"/>
        <v>580.27000000000044</v>
      </c>
      <c r="M28" s="53">
        <f t="shared" si="3"/>
        <v>7.9512562182509836E-3</v>
      </c>
      <c r="N28" s="87"/>
      <c r="O28" s="58"/>
    </row>
    <row r="29" spans="1:15">
      <c r="A29" s="19" t="s">
        <v>15</v>
      </c>
      <c r="B29" s="20" t="s">
        <v>110</v>
      </c>
      <c r="C29" s="33">
        <v>94901</v>
      </c>
      <c r="D29" s="33"/>
      <c r="E29" s="33"/>
      <c r="F29" s="33"/>
      <c r="G29" s="33"/>
      <c r="H29" s="33"/>
      <c r="I29" s="33"/>
      <c r="J29" s="33">
        <f t="shared" si="2"/>
        <v>94901</v>
      </c>
      <c r="K29" s="49">
        <v>54346.37</v>
      </c>
      <c r="L29" s="49">
        <f t="shared" si="4"/>
        <v>40554.629999999997</v>
      </c>
      <c r="M29" s="53">
        <f t="shared" si="3"/>
        <v>1.4173354604921579E-2</v>
      </c>
      <c r="N29" s="87"/>
      <c r="O29" s="58"/>
    </row>
    <row r="30" spans="1:15">
      <c r="A30" s="19" t="s">
        <v>16</v>
      </c>
      <c r="B30" s="20" t="s">
        <v>111</v>
      </c>
      <c r="C30" s="33">
        <v>8132.05</v>
      </c>
      <c r="D30" s="33"/>
      <c r="E30" s="33"/>
      <c r="F30" s="33"/>
      <c r="G30" s="33"/>
      <c r="H30" s="33"/>
      <c r="I30" s="33"/>
      <c r="J30" s="33">
        <f t="shared" si="2"/>
        <v>8132.05</v>
      </c>
      <c r="K30" s="49">
        <v>5093.3900000000003</v>
      </c>
      <c r="L30" s="49">
        <f t="shared" si="4"/>
        <v>3038.66</v>
      </c>
      <c r="M30" s="53">
        <f t="shared" si="3"/>
        <v>1.3283393649136368E-3</v>
      </c>
      <c r="N30" s="87"/>
      <c r="O30" s="58"/>
    </row>
    <row r="31" spans="1:15">
      <c r="A31" s="19" t="s">
        <v>17</v>
      </c>
      <c r="B31" s="21" t="s">
        <v>77</v>
      </c>
      <c r="C31" s="33">
        <v>59303</v>
      </c>
      <c r="D31" s="33"/>
      <c r="E31" s="33"/>
      <c r="F31" s="33"/>
      <c r="G31" s="33"/>
      <c r="H31" s="33">
        <v>730</v>
      </c>
      <c r="I31" s="33"/>
      <c r="J31" s="33">
        <f t="shared" si="2"/>
        <v>60033</v>
      </c>
      <c r="K31" s="49">
        <v>0</v>
      </c>
      <c r="L31" s="49">
        <f t="shared" si="4"/>
        <v>60033</v>
      </c>
      <c r="M31" s="53">
        <f t="shared" si="3"/>
        <v>0</v>
      </c>
      <c r="N31" s="87"/>
      <c r="O31" s="58"/>
    </row>
    <row r="32" spans="1:15">
      <c r="A32" s="19" t="s">
        <v>18</v>
      </c>
      <c r="B32" s="20" t="s">
        <v>80</v>
      </c>
      <c r="C32" s="33">
        <v>59303</v>
      </c>
      <c r="D32" s="33"/>
      <c r="E32" s="33"/>
      <c r="F32" s="33"/>
      <c r="G32" s="33"/>
      <c r="H32" s="33"/>
      <c r="I32" s="33"/>
      <c r="J32" s="33">
        <f t="shared" si="2"/>
        <v>59303</v>
      </c>
      <c r="K32" s="49">
        <v>51031.86</v>
      </c>
      <c r="L32" s="49">
        <f t="shared" si="4"/>
        <v>8271.14</v>
      </c>
      <c r="M32" s="53">
        <f t="shared" si="3"/>
        <v>1.3308941295043501E-2</v>
      </c>
      <c r="N32" s="87"/>
      <c r="O32" s="58"/>
    </row>
    <row r="33" spans="1:15">
      <c r="A33" s="19" t="s">
        <v>19</v>
      </c>
      <c r="B33" s="20" t="s">
        <v>78</v>
      </c>
      <c r="C33" s="33">
        <v>4000</v>
      </c>
      <c r="D33" s="33"/>
      <c r="E33" s="33"/>
      <c r="F33" s="33"/>
      <c r="G33" s="33"/>
      <c r="H33" s="33">
        <v>120</v>
      </c>
      <c r="I33" s="33"/>
      <c r="J33" s="33">
        <f t="shared" si="2"/>
        <v>4120</v>
      </c>
      <c r="K33" s="49">
        <v>0</v>
      </c>
      <c r="L33" s="49">
        <f t="shared" si="4"/>
        <v>4120</v>
      </c>
      <c r="M33" s="53">
        <f t="shared" si="3"/>
        <v>0</v>
      </c>
      <c r="N33" s="87"/>
      <c r="O33" s="58"/>
    </row>
    <row r="34" spans="1:15">
      <c r="A34" s="19"/>
      <c r="B34" s="20"/>
      <c r="C34" s="33"/>
      <c r="D34" s="33"/>
      <c r="E34" s="33"/>
      <c r="F34" s="33"/>
      <c r="G34" s="33"/>
      <c r="H34" s="33"/>
      <c r="I34" s="33"/>
      <c r="J34" s="33"/>
      <c r="K34" s="81"/>
      <c r="L34" s="49"/>
      <c r="M34" s="53"/>
      <c r="N34" s="87"/>
      <c r="O34" s="58"/>
    </row>
    <row r="35" spans="1:15">
      <c r="A35" s="23">
        <v>1</v>
      </c>
      <c r="B35" s="23" t="s">
        <v>10</v>
      </c>
      <c r="C35" s="33"/>
      <c r="D35" s="33"/>
      <c r="E35" s="33"/>
      <c r="F35" s="33"/>
      <c r="G35" s="33"/>
      <c r="H35" s="33"/>
      <c r="I35" s="33"/>
      <c r="J35" s="33"/>
      <c r="K35" s="83"/>
      <c r="L35" s="49"/>
      <c r="M35" s="53"/>
      <c r="N35" s="87"/>
      <c r="O35" s="58"/>
    </row>
    <row r="36" spans="1:15">
      <c r="A36" s="24">
        <v>111</v>
      </c>
      <c r="B36" s="20" t="s">
        <v>39</v>
      </c>
      <c r="C36" s="33">
        <v>13125</v>
      </c>
      <c r="D36" s="33"/>
      <c r="E36" s="33"/>
      <c r="F36" s="33"/>
      <c r="G36" s="33"/>
      <c r="H36" s="33"/>
      <c r="I36" s="33"/>
      <c r="J36" s="33">
        <f t="shared" si="2"/>
        <v>13125</v>
      </c>
      <c r="K36" s="49">
        <v>7278.92</v>
      </c>
      <c r="L36" s="49">
        <f t="shared" si="4"/>
        <v>5846.08</v>
      </c>
      <c r="M36" s="53">
        <f t="shared" ref="M36:M69" si="5">K36/$K$114</f>
        <v>1.8983184028823962E-3</v>
      </c>
      <c r="N36" s="87"/>
      <c r="O36" s="58"/>
    </row>
    <row r="37" spans="1:15">
      <c r="A37" s="24">
        <v>113</v>
      </c>
      <c r="B37" s="20" t="s">
        <v>48</v>
      </c>
      <c r="C37" s="33">
        <v>24780</v>
      </c>
      <c r="D37" s="33"/>
      <c r="E37" s="33"/>
      <c r="F37" s="33"/>
      <c r="G37" s="33"/>
      <c r="H37" s="33"/>
      <c r="I37" s="33"/>
      <c r="J37" s="33">
        <f t="shared" si="2"/>
        <v>24780</v>
      </c>
      <c r="K37" s="49">
        <v>17428</v>
      </c>
      <c r="L37" s="49">
        <f t="shared" si="4"/>
        <v>7352</v>
      </c>
      <c r="M37" s="53">
        <f t="shared" si="5"/>
        <v>4.5451650966674183E-3</v>
      </c>
      <c r="N37" s="87"/>
      <c r="O37" s="58"/>
    </row>
    <row r="38" spans="1:15">
      <c r="A38" s="24">
        <v>114</v>
      </c>
      <c r="B38" s="20" t="s">
        <v>109</v>
      </c>
      <c r="C38" s="33">
        <v>2500</v>
      </c>
      <c r="D38" s="33"/>
      <c r="E38" s="33"/>
      <c r="F38" s="33"/>
      <c r="G38" s="33"/>
      <c r="H38" s="33"/>
      <c r="I38" s="33"/>
      <c r="J38" s="33">
        <f t="shared" si="2"/>
        <v>2500</v>
      </c>
      <c r="K38" s="49">
        <v>596.51</v>
      </c>
      <c r="L38" s="49">
        <f t="shared" si="4"/>
        <v>1903.49</v>
      </c>
      <c r="M38" s="53">
        <f t="shared" si="5"/>
        <v>1.5556784667277262E-4</v>
      </c>
      <c r="N38" s="87"/>
      <c r="O38" s="58"/>
    </row>
    <row r="39" spans="1:15">
      <c r="A39" s="24">
        <v>121</v>
      </c>
      <c r="B39" s="20" t="s">
        <v>155</v>
      </c>
      <c r="C39" s="33">
        <v>12250</v>
      </c>
      <c r="D39" s="33"/>
      <c r="E39" s="33"/>
      <c r="F39" s="33"/>
      <c r="G39" s="33"/>
      <c r="H39" s="33"/>
      <c r="I39" s="33"/>
      <c r="J39" s="33">
        <f t="shared" si="2"/>
        <v>12250</v>
      </c>
      <c r="K39" s="49">
        <v>4206</v>
      </c>
      <c r="L39" s="49">
        <f t="shared" si="4"/>
        <v>8044</v>
      </c>
      <c r="M39" s="53">
        <f t="shared" si="5"/>
        <v>1.0969109706554486E-3</v>
      </c>
      <c r="N39" s="87"/>
      <c r="O39" s="58"/>
    </row>
    <row r="40" spans="1:15">
      <c r="A40" s="24">
        <v>122</v>
      </c>
      <c r="B40" s="20" t="s">
        <v>81</v>
      </c>
      <c r="C40" s="33">
        <v>29000</v>
      </c>
      <c r="D40" s="33"/>
      <c r="E40" s="33"/>
      <c r="F40" s="33"/>
      <c r="G40" s="33"/>
      <c r="H40" s="33"/>
      <c r="I40" s="33"/>
      <c r="J40" s="33">
        <f t="shared" si="2"/>
        <v>29000</v>
      </c>
      <c r="K40" s="49">
        <v>21200.5</v>
      </c>
      <c r="L40" s="49">
        <f t="shared" si="4"/>
        <v>7799.5</v>
      </c>
      <c r="M40" s="53">
        <f t="shared" si="5"/>
        <v>5.5290206926725729E-3</v>
      </c>
      <c r="N40" s="87"/>
      <c r="O40" s="58"/>
    </row>
    <row r="41" spans="1:15">
      <c r="A41" s="24">
        <v>131</v>
      </c>
      <c r="B41" s="20" t="s">
        <v>51</v>
      </c>
      <c r="C41" s="33">
        <v>1251963.1500000001</v>
      </c>
      <c r="D41" s="33">
        <v>250000</v>
      </c>
      <c r="E41" s="33"/>
      <c r="F41" s="33"/>
      <c r="G41" s="33">
        <v>60000</v>
      </c>
      <c r="H41" s="33"/>
      <c r="I41" s="33"/>
      <c r="J41" s="33">
        <f t="shared" si="2"/>
        <v>1441963.1500000001</v>
      </c>
      <c r="K41" s="49">
        <v>1309859.0599999998</v>
      </c>
      <c r="L41" s="49">
        <f t="shared" si="4"/>
        <v>132104.09000000032</v>
      </c>
      <c r="M41" s="53">
        <f t="shared" si="5"/>
        <v>0.34160693602625614</v>
      </c>
      <c r="N41" s="87"/>
      <c r="O41" s="58"/>
    </row>
    <row r="42" spans="1:15">
      <c r="A42" s="24">
        <v>133</v>
      </c>
      <c r="B42" s="20" t="s">
        <v>52</v>
      </c>
      <c r="C42" s="33">
        <v>1500</v>
      </c>
      <c r="D42" s="33"/>
      <c r="E42" s="33"/>
      <c r="F42" s="33"/>
      <c r="G42" s="33"/>
      <c r="H42" s="33"/>
      <c r="I42" s="33"/>
      <c r="J42" s="33">
        <f t="shared" si="2"/>
        <v>1500</v>
      </c>
      <c r="K42" s="49">
        <v>0</v>
      </c>
      <c r="L42" s="49">
        <f t="shared" si="4"/>
        <v>1500</v>
      </c>
      <c r="M42" s="53">
        <f t="shared" si="5"/>
        <v>0</v>
      </c>
      <c r="N42" s="87"/>
      <c r="O42" s="58"/>
    </row>
    <row r="43" spans="1:15" hidden="1">
      <c r="A43" s="24">
        <v>134</v>
      </c>
      <c r="B43" s="20" t="s">
        <v>82</v>
      </c>
      <c r="C43" s="33">
        <v>0</v>
      </c>
      <c r="D43" s="33"/>
      <c r="E43" s="33"/>
      <c r="F43" s="33"/>
      <c r="G43" s="33"/>
      <c r="H43" s="33"/>
      <c r="I43" s="33"/>
      <c r="J43" s="33">
        <f t="shared" si="2"/>
        <v>0</v>
      </c>
      <c r="K43" s="49">
        <v>0</v>
      </c>
      <c r="L43" s="49">
        <f t="shared" si="4"/>
        <v>0</v>
      </c>
      <c r="M43" s="53">
        <f t="shared" si="5"/>
        <v>0</v>
      </c>
      <c r="N43" s="87"/>
      <c r="O43" s="58"/>
    </row>
    <row r="44" spans="1:15">
      <c r="A44" s="24">
        <v>135</v>
      </c>
      <c r="B44" s="20" t="s">
        <v>90</v>
      </c>
      <c r="C44" s="33">
        <v>100840.04999999999</v>
      </c>
      <c r="D44" s="33">
        <v>15000</v>
      </c>
      <c r="E44" s="33"/>
      <c r="F44" s="33">
        <v>60000</v>
      </c>
      <c r="G44" s="33"/>
      <c r="H44" s="33"/>
      <c r="I44" s="33"/>
      <c r="J44" s="33">
        <f t="shared" si="2"/>
        <v>175840.05</v>
      </c>
      <c r="K44" s="49">
        <v>166069.52000000002</v>
      </c>
      <c r="L44" s="49">
        <f t="shared" si="4"/>
        <v>9770.5299999999697</v>
      </c>
      <c r="M44" s="53">
        <f t="shared" si="5"/>
        <v>4.3310384778764734E-2</v>
      </c>
      <c r="N44" s="87"/>
      <c r="O44" s="58"/>
    </row>
    <row r="45" spans="1:15">
      <c r="A45" s="24">
        <v>141</v>
      </c>
      <c r="B45" s="20" t="s">
        <v>71</v>
      </c>
      <c r="C45" s="33">
        <v>846850</v>
      </c>
      <c r="D45" s="33"/>
      <c r="E45" s="33">
        <v>210000</v>
      </c>
      <c r="F45" s="33">
        <v>65000</v>
      </c>
      <c r="G45" s="33"/>
      <c r="H45" s="33"/>
      <c r="I45" s="33">
        <v>136000</v>
      </c>
      <c r="J45" s="33">
        <f t="shared" si="2"/>
        <v>565850</v>
      </c>
      <c r="K45" s="49">
        <v>464604.05</v>
      </c>
      <c r="L45" s="49">
        <f t="shared" si="4"/>
        <v>101245.95000000001</v>
      </c>
      <c r="M45" s="53">
        <f t="shared" si="5"/>
        <v>0.1211672086200553</v>
      </c>
      <c r="N45" s="87"/>
      <c r="O45" s="58"/>
    </row>
    <row r="46" spans="1:15">
      <c r="A46" s="24">
        <v>142</v>
      </c>
      <c r="B46" s="20" t="s">
        <v>22</v>
      </c>
      <c r="C46" s="33">
        <v>16000</v>
      </c>
      <c r="D46" s="33"/>
      <c r="E46" s="33"/>
      <c r="F46" s="33"/>
      <c r="G46" s="33"/>
      <c r="H46" s="33"/>
      <c r="I46" s="33"/>
      <c r="J46" s="33">
        <f t="shared" si="2"/>
        <v>16000</v>
      </c>
      <c r="K46" s="49">
        <v>9000</v>
      </c>
      <c r="L46" s="49">
        <f t="shared" si="4"/>
        <v>7000</v>
      </c>
      <c r="M46" s="53">
        <f t="shared" si="5"/>
        <v>2.3471704079645835E-3</v>
      </c>
      <c r="N46" s="87"/>
      <c r="O46" s="58"/>
    </row>
    <row r="47" spans="1:15">
      <c r="A47" s="24">
        <v>143</v>
      </c>
      <c r="B47" s="20" t="s">
        <v>112</v>
      </c>
      <c r="C47" s="33">
        <v>27000</v>
      </c>
      <c r="D47" s="33"/>
      <c r="E47" s="33"/>
      <c r="F47" s="33">
        <v>18000</v>
      </c>
      <c r="G47" s="33"/>
      <c r="H47" s="33"/>
      <c r="I47" s="33"/>
      <c r="J47" s="33">
        <f t="shared" si="2"/>
        <v>45000</v>
      </c>
      <c r="K47" s="49">
        <v>31093.07</v>
      </c>
      <c r="L47" s="49">
        <f t="shared" si="4"/>
        <v>13906.93</v>
      </c>
      <c r="M47" s="53">
        <f t="shared" si="5"/>
        <v>8.1089704218634834E-3</v>
      </c>
      <c r="N47" s="87"/>
      <c r="O47" s="58"/>
    </row>
    <row r="48" spans="1:15">
      <c r="A48" s="24">
        <v>151</v>
      </c>
      <c r="B48" s="20" t="s">
        <v>118</v>
      </c>
      <c r="C48" s="33">
        <v>70560</v>
      </c>
      <c r="D48" s="33"/>
      <c r="E48" s="33"/>
      <c r="F48" s="33"/>
      <c r="G48" s="33"/>
      <c r="H48" s="33"/>
      <c r="I48" s="33"/>
      <c r="J48" s="33">
        <f t="shared" si="2"/>
        <v>70560</v>
      </c>
      <c r="K48" s="49">
        <v>58800</v>
      </c>
      <c r="L48" s="49">
        <f t="shared" si="4"/>
        <v>11760</v>
      </c>
      <c r="M48" s="53">
        <f t="shared" si="5"/>
        <v>1.5334846665368612E-2</v>
      </c>
      <c r="N48" s="87"/>
      <c r="O48" s="58"/>
    </row>
    <row r="49" spans="1:15" hidden="1">
      <c r="A49" s="24">
        <v>155</v>
      </c>
      <c r="B49" s="20" t="s">
        <v>33</v>
      </c>
      <c r="C49" s="33">
        <v>0</v>
      </c>
      <c r="D49" s="33"/>
      <c r="E49" s="33"/>
      <c r="F49" s="33"/>
      <c r="G49" s="33"/>
      <c r="H49" s="33"/>
      <c r="I49" s="33"/>
      <c r="J49" s="33">
        <f t="shared" si="2"/>
        <v>0</v>
      </c>
      <c r="K49" s="49">
        <v>0</v>
      </c>
      <c r="L49" s="49">
        <f t="shared" si="4"/>
        <v>0</v>
      </c>
      <c r="M49" s="53">
        <f t="shared" si="5"/>
        <v>0</v>
      </c>
      <c r="N49" s="87"/>
      <c r="O49" s="58"/>
    </row>
    <row r="50" spans="1:15">
      <c r="A50" s="24">
        <v>158</v>
      </c>
      <c r="B50" s="20" t="s">
        <v>91</v>
      </c>
      <c r="C50" s="33">
        <v>6550</v>
      </c>
      <c r="D50" s="33"/>
      <c r="E50" s="33"/>
      <c r="F50" s="33"/>
      <c r="G50" s="33"/>
      <c r="H50" s="33"/>
      <c r="I50" s="33"/>
      <c r="J50" s="33">
        <f t="shared" si="2"/>
        <v>6550</v>
      </c>
      <c r="K50" s="49">
        <v>1416</v>
      </c>
      <c r="L50" s="49">
        <f t="shared" si="4"/>
        <v>5134</v>
      </c>
      <c r="M50" s="53">
        <f t="shared" si="5"/>
        <v>3.6928814418642778E-4</v>
      </c>
      <c r="N50" s="87"/>
      <c r="O50" s="58"/>
    </row>
    <row r="51" spans="1:15">
      <c r="A51" s="24">
        <v>162</v>
      </c>
      <c r="B51" s="20" t="s">
        <v>53</v>
      </c>
      <c r="C51" s="33">
        <v>2000</v>
      </c>
      <c r="D51" s="33"/>
      <c r="E51" s="33"/>
      <c r="F51" s="33"/>
      <c r="G51" s="33"/>
      <c r="H51" s="33"/>
      <c r="I51" s="33"/>
      <c r="J51" s="33">
        <f t="shared" si="2"/>
        <v>2000</v>
      </c>
      <c r="K51" s="49">
        <v>350</v>
      </c>
      <c r="L51" s="49">
        <f t="shared" si="4"/>
        <v>1650</v>
      </c>
      <c r="M51" s="53">
        <f t="shared" si="5"/>
        <v>9.1278849198622692E-5</v>
      </c>
      <c r="N51" s="87"/>
      <c r="O51" s="58"/>
    </row>
    <row r="52" spans="1:15">
      <c r="A52" s="24">
        <v>164</v>
      </c>
      <c r="B52" s="20" t="s">
        <v>40</v>
      </c>
      <c r="C52" s="33">
        <v>20000</v>
      </c>
      <c r="D52" s="33"/>
      <c r="E52" s="33"/>
      <c r="F52" s="33"/>
      <c r="G52" s="33"/>
      <c r="H52" s="33"/>
      <c r="I52" s="33"/>
      <c r="J52" s="33">
        <f t="shared" si="2"/>
        <v>20000</v>
      </c>
      <c r="K52" s="49">
        <v>9950</v>
      </c>
      <c r="L52" s="49">
        <f t="shared" si="4"/>
        <v>10050</v>
      </c>
      <c r="M52" s="53">
        <f t="shared" si="5"/>
        <v>2.5949272843608451E-3</v>
      </c>
      <c r="N52" s="87"/>
      <c r="O52" s="58"/>
    </row>
    <row r="53" spans="1:15">
      <c r="A53" s="24">
        <v>165</v>
      </c>
      <c r="B53" s="20" t="s">
        <v>92</v>
      </c>
      <c r="C53" s="33">
        <v>6900</v>
      </c>
      <c r="D53" s="33"/>
      <c r="E53" s="33"/>
      <c r="F53" s="33"/>
      <c r="G53" s="33"/>
      <c r="H53" s="33"/>
      <c r="I53" s="33"/>
      <c r="J53" s="33">
        <f t="shared" si="2"/>
        <v>6900</v>
      </c>
      <c r="K53" s="49">
        <v>2219.04</v>
      </c>
      <c r="L53" s="49">
        <f t="shared" si="4"/>
        <v>4680.96</v>
      </c>
      <c r="M53" s="53">
        <f t="shared" si="5"/>
        <v>5.7871833578774774E-4</v>
      </c>
      <c r="N53" s="87"/>
      <c r="O53" s="58"/>
    </row>
    <row r="54" spans="1:15">
      <c r="A54" s="24">
        <v>168</v>
      </c>
      <c r="B54" s="20" t="s">
        <v>54</v>
      </c>
      <c r="C54" s="33">
        <v>3000</v>
      </c>
      <c r="D54" s="33"/>
      <c r="E54" s="33"/>
      <c r="F54" s="33"/>
      <c r="G54" s="33"/>
      <c r="H54" s="33"/>
      <c r="I54" s="33"/>
      <c r="J54" s="33">
        <f t="shared" si="2"/>
        <v>3000</v>
      </c>
      <c r="K54" s="49">
        <v>2085</v>
      </c>
      <c r="L54" s="49">
        <f t="shared" si="4"/>
        <v>915</v>
      </c>
      <c r="M54" s="53">
        <f t="shared" si="5"/>
        <v>5.4376114451179514E-4</v>
      </c>
      <c r="N54" s="87"/>
      <c r="O54" s="58"/>
    </row>
    <row r="55" spans="1:15">
      <c r="A55" s="24">
        <v>174</v>
      </c>
      <c r="B55" s="20" t="s">
        <v>41</v>
      </c>
      <c r="C55" s="33">
        <v>5000</v>
      </c>
      <c r="D55" s="33"/>
      <c r="E55" s="33"/>
      <c r="F55" s="33"/>
      <c r="G55" s="33"/>
      <c r="H55" s="33">
        <v>22500</v>
      </c>
      <c r="I55" s="33"/>
      <c r="J55" s="33">
        <f t="shared" si="2"/>
        <v>27500</v>
      </c>
      <c r="K55" s="49">
        <v>2947.37</v>
      </c>
      <c r="L55" s="49">
        <f t="shared" si="4"/>
        <v>24552.63</v>
      </c>
      <c r="M55" s="53">
        <f t="shared" si="5"/>
        <v>7.6866440503584163E-4</v>
      </c>
      <c r="N55" s="87"/>
      <c r="O55" s="58"/>
    </row>
    <row r="56" spans="1:15">
      <c r="A56" s="24">
        <v>181</v>
      </c>
      <c r="B56" s="20" t="s">
        <v>139</v>
      </c>
      <c r="C56" s="33">
        <v>158000</v>
      </c>
      <c r="D56" s="33"/>
      <c r="E56" s="33"/>
      <c r="F56" s="33"/>
      <c r="G56" s="33"/>
      <c r="H56" s="33">
        <v>5000</v>
      </c>
      <c r="I56" s="33"/>
      <c r="J56" s="33">
        <f t="shared" si="2"/>
        <v>163000</v>
      </c>
      <c r="K56" s="49">
        <v>0</v>
      </c>
      <c r="L56" s="49">
        <f t="shared" si="4"/>
        <v>163000</v>
      </c>
      <c r="M56" s="53">
        <f t="shared" si="5"/>
        <v>0</v>
      </c>
      <c r="N56" s="87"/>
      <c r="O56" s="58"/>
    </row>
    <row r="57" spans="1:15" hidden="1">
      <c r="A57" s="24">
        <v>182</v>
      </c>
      <c r="B57" s="20" t="s">
        <v>56</v>
      </c>
      <c r="C57" s="33">
        <v>0</v>
      </c>
      <c r="D57" s="33"/>
      <c r="E57" s="33"/>
      <c r="F57" s="33"/>
      <c r="G57" s="33"/>
      <c r="H57" s="33"/>
      <c r="I57" s="33"/>
      <c r="J57" s="33">
        <f t="shared" si="2"/>
        <v>0</v>
      </c>
      <c r="K57" s="49">
        <v>0</v>
      </c>
      <c r="L57" s="49">
        <f t="shared" si="4"/>
        <v>0</v>
      </c>
      <c r="M57" s="53">
        <f t="shared" si="5"/>
        <v>0</v>
      </c>
      <c r="N57" s="87"/>
      <c r="O57" s="58"/>
    </row>
    <row r="58" spans="1:15">
      <c r="A58" s="24">
        <v>183</v>
      </c>
      <c r="B58" s="20" t="s">
        <v>93</v>
      </c>
      <c r="C58" s="33">
        <v>85000</v>
      </c>
      <c r="D58" s="33"/>
      <c r="E58" s="33"/>
      <c r="F58" s="33"/>
      <c r="G58" s="33">
        <v>51000</v>
      </c>
      <c r="H58" s="33"/>
      <c r="I58" s="33"/>
      <c r="J58" s="33">
        <f t="shared" si="2"/>
        <v>34000</v>
      </c>
      <c r="K58" s="49">
        <v>14575</v>
      </c>
      <c r="L58" s="49">
        <f t="shared" si="4"/>
        <v>19425</v>
      </c>
      <c r="M58" s="53">
        <f t="shared" si="5"/>
        <v>3.801112077342645E-3</v>
      </c>
      <c r="N58" s="87"/>
      <c r="O58" s="58"/>
    </row>
    <row r="59" spans="1:15">
      <c r="A59" s="24">
        <v>184</v>
      </c>
      <c r="B59" s="20" t="s">
        <v>94</v>
      </c>
      <c r="C59" s="33">
        <v>50000</v>
      </c>
      <c r="D59" s="33"/>
      <c r="E59" s="33"/>
      <c r="F59" s="33"/>
      <c r="G59" s="33"/>
      <c r="H59" s="33"/>
      <c r="I59" s="33"/>
      <c r="J59" s="33">
        <f t="shared" si="2"/>
        <v>50000</v>
      </c>
      <c r="K59" s="49">
        <v>40000</v>
      </c>
      <c r="L59" s="49">
        <f t="shared" si="4"/>
        <v>10000</v>
      </c>
      <c r="M59" s="53">
        <f t="shared" si="5"/>
        <v>1.0431868479842593E-2</v>
      </c>
      <c r="N59" s="87"/>
      <c r="O59" s="58"/>
    </row>
    <row r="60" spans="1:15">
      <c r="A60" s="24">
        <v>185</v>
      </c>
      <c r="B60" s="20" t="s">
        <v>95</v>
      </c>
      <c r="C60" s="33">
        <v>15000</v>
      </c>
      <c r="D60" s="33"/>
      <c r="E60" s="33"/>
      <c r="F60" s="33"/>
      <c r="G60" s="33">
        <v>8500</v>
      </c>
      <c r="H60" s="33"/>
      <c r="I60" s="33"/>
      <c r="J60" s="33">
        <f t="shared" si="2"/>
        <v>6500</v>
      </c>
      <c r="K60" s="49">
        <v>3762</v>
      </c>
      <c r="L60" s="49">
        <f t="shared" si="4"/>
        <v>2738</v>
      </c>
      <c r="M60" s="53">
        <f t="shared" si="5"/>
        <v>9.8111723052919588E-4</v>
      </c>
      <c r="N60" s="87"/>
      <c r="O60" s="58"/>
    </row>
    <row r="61" spans="1:15">
      <c r="A61" s="24">
        <v>186</v>
      </c>
      <c r="B61" s="20" t="s">
        <v>42</v>
      </c>
      <c r="C61" s="33">
        <v>2000</v>
      </c>
      <c r="D61" s="33"/>
      <c r="E61" s="33"/>
      <c r="F61" s="33">
        <v>84700</v>
      </c>
      <c r="G61" s="33"/>
      <c r="H61" s="33"/>
      <c r="I61" s="33"/>
      <c r="J61" s="33">
        <f t="shared" si="2"/>
        <v>86700</v>
      </c>
      <c r="K61" s="49">
        <v>51790</v>
      </c>
      <c r="L61" s="49">
        <f t="shared" si="4"/>
        <v>34910</v>
      </c>
      <c r="M61" s="53">
        <f t="shared" si="5"/>
        <v>1.3506661714276197E-2</v>
      </c>
      <c r="N61" s="87"/>
      <c r="O61" s="58"/>
    </row>
    <row r="62" spans="1:15">
      <c r="A62" s="24">
        <v>187</v>
      </c>
      <c r="B62" s="20" t="s">
        <v>96</v>
      </c>
      <c r="C62" s="33">
        <v>20000</v>
      </c>
      <c r="D62" s="33"/>
      <c r="E62" s="33"/>
      <c r="F62" s="33"/>
      <c r="G62" s="33"/>
      <c r="H62" s="33"/>
      <c r="I62" s="33"/>
      <c r="J62" s="33">
        <f t="shared" si="2"/>
        <v>20000</v>
      </c>
      <c r="K62" s="49">
        <v>7100</v>
      </c>
      <c r="L62" s="49">
        <f t="shared" si="4"/>
        <v>12900</v>
      </c>
      <c r="M62" s="53">
        <f t="shared" si="5"/>
        <v>1.8516566551720604E-3</v>
      </c>
      <c r="N62" s="87"/>
      <c r="O62" s="58"/>
    </row>
    <row r="63" spans="1:15">
      <c r="A63" s="24">
        <v>188</v>
      </c>
      <c r="B63" s="20" t="s">
        <v>97</v>
      </c>
      <c r="C63" s="33">
        <v>60000</v>
      </c>
      <c r="D63" s="33"/>
      <c r="E63" s="33"/>
      <c r="F63" s="33"/>
      <c r="G63" s="33"/>
      <c r="H63" s="33"/>
      <c r="I63" s="33"/>
      <c r="J63" s="33">
        <f t="shared" si="2"/>
        <v>60000</v>
      </c>
      <c r="K63" s="49">
        <v>0</v>
      </c>
      <c r="L63" s="49">
        <f t="shared" si="4"/>
        <v>60000</v>
      </c>
      <c r="M63" s="53">
        <f t="shared" si="5"/>
        <v>0</v>
      </c>
      <c r="N63" s="87"/>
      <c r="O63" s="58"/>
    </row>
    <row r="64" spans="1:15">
      <c r="A64" s="24">
        <v>189</v>
      </c>
      <c r="B64" s="20" t="s">
        <v>98</v>
      </c>
      <c r="C64" s="33">
        <v>285000</v>
      </c>
      <c r="D64" s="33"/>
      <c r="E64" s="33">
        <v>50000</v>
      </c>
      <c r="F64" s="33"/>
      <c r="G64" s="33"/>
      <c r="H64" s="33"/>
      <c r="I64" s="33"/>
      <c r="J64" s="33">
        <f t="shared" si="2"/>
        <v>235000</v>
      </c>
      <c r="K64" s="49">
        <v>184560</v>
      </c>
      <c r="L64" s="49">
        <f t="shared" si="4"/>
        <v>50440</v>
      </c>
      <c r="M64" s="53">
        <f t="shared" si="5"/>
        <v>4.8132641165993723E-2</v>
      </c>
      <c r="N64" s="87"/>
      <c r="O64" s="58"/>
    </row>
    <row r="65" spans="1:16">
      <c r="A65" s="24">
        <v>191</v>
      </c>
      <c r="B65" s="20" t="s">
        <v>99</v>
      </c>
      <c r="C65" s="33">
        <v>11250</v>
      </c>
      <c r="D65" s="33"/>
      <c r="E65" s="33"/>
      <c r="F65" s="76"/>
      <c r="G65" s="33"/>
      <c r="H65" s="33"/>
      <c r="I65" s="33"/>
      <c r="J65" s="33">
        <f t="shared" si="2"/>
        <v>11250</v>
      </c>
      <c r="K65" s="49">
        <v>7321.78</v>
      </c>
      <c r="L65" s="49">
        <f t="shared" si="4"/>
        <v>3928.2200000000003</v>
      </c>
      <c r="M65" s="53">
        <f t="shared" si="5"/>
        <v>1.9094961499585474E-3</v>
      </c>
      <c r="N65" s="87"/>
      <c r="O65" s="58"/>
    </row>
    <row r="66" spans="1:16">
      <c r="A66" s="24">
        <v>194</v>
      </c>
      <c r="B66" s="20" t="s">
        <v>148</v>
      </c>
      <c r="C66" s="33">
        <v>5000</v>
      </c>
      <c r="D66" s="33"/>
      <c r="E66" s="33"/>
      <c r="F66" s="33"/>
      <c r="G66" s="33"/>
      <c r="H66" s="33"/>
      <c r="I66" s="33"/>
      <c r="J66" s="33">
        <f t="shared" si="2"/>
        <v>5000</v>
      </c>
      <c r="K66" s="49">
        <v>2174.79</v>
      </c>
      <c r="L66" s="49">
        <f t="shared" si="4"/>
        <v>2825.21</v>
      </c>
      <c r="M66" s="53">
        <f t="shared" si="5"/>
        <v>5.6717808128192184E-4</v>
      </c>
      <c r="N66" s="87"/>
      <c r="O66" s="58"/>
    </row>
    <row r="67" spans="1:16">
      <c r="A67" s="24">
        <v>195</v>
      </c>
      <c r="B67" s="20" t="s">
        <v>34</v>
      </c>
      <c r="C67" s="33">
        <v>10000</v>
      </c>
      <c r="D67" s="33"/>
      <c r="E67" s="33"/>
      <c r="F67" s="33">
        <v>9500</v>
      </c>
      <c r="G67" s="33"/>
      <c r="H67" s="33"/>
      <c r="I67" s="33"/>
      <c r="J67" s="33">
        <f t="shared" si="2"/>
        <v>19500</v>
      </c>
      <c r="K67" s="49">
        <v>15837.43</v>
      </c>
      <c r="L67" s="49">
        <f t="shared" si="4"/>
        <v>3662.5699999999997</v>
      </c>
      <c r="M67" s="53">
        <f t="shared" si="5"/>
        <v>4.1303496704678368E-3</v>
      </c>
      <c r="N67" s="87"/>
      <c r="O67" s="58"/>
    </row>
    <row r="68" spans="1:16">
      <c r="A68" s="24">
        <v>196</v>
      </c>
      <c r="B68" s="20" t="s">
        <v>100</v>
      </c>
      <c r="C68" s="33">
        <v>20000</v>
      </c>
      <c r="D68" s="33"/>
      <c r="E68" s="33"/>
      <c r="F68" s="33"/>
      <c r="G68" s="33">
        <v>20000</v>
      </c>
      <c r="H68" s="33"/>
      <c r="I68" s="33"/>
      <c r="J68" s="33">
        <f t="shared" si="2"/>
        <v>0</v>
      </c>
      <c r="K68" s="49">
        <v>0</v>
      </c>
      <c r="L68" s="49">
        <f t="shared" si="4"/>
        <v>0</v>
      </c>
      <c r="M68" s="53">
        <f t="shared" si="5"/>
        <v>0</v>
      </c>
      <c r="N68" s="87"/>
      <c r="O68" s="58"/>
    </row>
    <row r="69" spans="1:16">
      <c r="A69" s="24">
        <v>199</v>
      </c>
      <c r="B69" s="20" t="s">
        <v>55</v>
      </c>
      <c r="C69" s="33">
        <v>25000</v>
      </c>
      <c r="D69" s="33"/>
      <c r="E69" s="33"/>
      <c r="F69" s="33"/>
      <c r="G69" s="33"/>
      <c r="H69" s="33"/>
      <c r="I69" s="33"/>
      <c r="J69" s="33">
        <f t="shared" si="2"/>
        <v>25000</v>
      </c>
      <c r="K69" s="49">
        <v>21214.94</v>
      </c>
      <c r="L69" s="49">
        <f t="shared" si="4"/>
        <v>3785.0600000000013</v>
      </c>
      <c r="M69" s="53">
        <f t="shared" si="5"/>
        <v>5.5327865971937958E-3</v>
      </c>
      <c r="N69" s="87"/>
      <c r="O69" s="58"/>
    </row>
    <row r="70" spans="1:16">
      <c r="A70" s="24"/>
      <c r="B70" s="20"/>
      <c r="C70" s="33"/>
      <c r="D70" s="33"/>
      <c r="E70" s="33"/>
      <c r="F70" s="33"/>
      <c r="G70" s="33"/>
      <c r="H70" s="33"/>
      <c r="I70" s="33"/>
      <c r="J70" s="33"/>
      <c r="K70" s="81"/>
      <c r="L70" s="49"/>
      <c r="M70" s="53"/>
      <c r="N70" s="87"/>
      <c r="O70" s="58"/>
    </row>
    <row r="71" spans="1:16">
      <c r="A71" s="23">
        <v>2</v>
      </c>
      <c r="B71" s="23" t="s">
        <v>11</v>
      </c>
      <c r="C71" s="33"/>
      <c r="D71" s="33"/>
      <c r="E71" s="33"/>
      <c r="F71" s="33"/>
      <c r="G71" s="33"/>
      <c r="H71" s="33"/>
      <c r="I71" s="33"/>
      <c r="J71" s="33"/>
      <c r="K71" s="83"/>
      <c r="L71" s="49"/>
      <c r="M71" s="53"/>
      <c r="N71" s="87"/>
      <c r="O71" s="58"/>
    </row>
    <row r="72" spans="1:16">
      <c r="A72" s="24">
        <v>211</v>
      </c>
      <c r="B72" s="20" t="s">
        <v>23</v>
      </c>
      <c r="C72" s="33">
        <v>111400</v>
      </c>
      <c r="D72" s="33"/>
      <c r="E72" s="33"/>
      <c r="F72" s="33"/>
      <c r="G72" s="33">
        <v>25000</v>
      </c>
      <c r="H72" s="33"/>
      <c r="I72" s="33"/>
      <c r="J72" s="33">
        <f t="shared" ref="J72:J97" si="6">C72+D72-E72+F72-G72+H72-I72</f>
        <v>86400</v>
      </c>
      <c r="K72" s="49">
        <v>53393.11</v>
      </c>
      <c r="L72" s="49">
        <f t="shared" ref="L72:L97" si="7">J72-K72</f>
        <v>33006.89</v>
      </c>
      <c r="M72" s="53">
        <f t="shared" ref="M72:M97" si="8">K72/$K$114</f>
        <v>1.392474753124421E-2</v>
      </c>
      <c r="N72" s="87"/>
      <c r="O72" s="58"/>
    </row>
    <row r="73" spans="1:16" hidden="1">
      <c r="A73" s="24">
        <v>219</v>
      </c>
      <c r="B73" s="20" t="s">
        <v>24</v>
      </c>
      <c r="C73" s="33">
        <v>0</v>
      </c>
      <c r="D73" s="33"/>
      <c r="E73" s="33"/>
      <c r="F73" s="33"/>
      <c r="G73" s="33"/>
      <c r="H73" s="33"/>
      <c r="I73" s="33"/>
      <c r="J73" s="33">
        <f t="shared" si="6"/>
        <v>0</v>
      </c>
      <c r="K73" s="49"/>
      <c r="L73" s="49">
        <f t="shared" si="7"/>
        <v>0</v>
      </c>
      <c r="M73" s="53">
        <f t="shared" si="8"/>
        <v>0</v>
      </c>
      <c r="N73" s="87"/>
      <c r="O73" s="58"/>
    </row>
    <row r="74" spans="1:16">
      <c r="A74" s="24">
        <v>232</v>
      </c>
      <c r="B74" s="20" t="s">
        <v>57</v>
      </c>
      <c r="C74" s="33">
        <v>1080</v>
      </c>
      <c r="D74" s="33"/>
      <c r="E74" s="33"/>
      <c r="F74" s="33"/>
      <c r="G74" s="33"/>
      <c r="H74" s="33">
        <v>800</v>
      </c>
      <c r="I74" s="33"/>
      <c r="J74" s="33">
        <f t="shared" si="6"/>
        <v>1880</v>
      </c>
      <c r="K74" s="49">
        <v>1031</v>
      </c>
      <c r="L74" s="49">
        <f t="shared" si="7"/>
        <v>849</v>
      </c>
      <c r="M74" s="53">
        <f t="shared" si="8"/>
        <v>2.6888141006794282E-4</v>
      </c>
      <c r="N74" s="87"/>
      <c r="O74" s="58"/>
    </row>
    <row r="75" spans="1:16">
      <c r="A75" s="24">
        <v>233</v>
      </c>
      <c r="B75" s="20" t="s">
        <v>70</v>
      </c>
      <c r="C75" s="33">
        <v>58000</v>
      </c>
      <c r="D75" s="33"/>
      <c r="E75" s="33"/>
      <c r="F75" s="33"/>
      <c r="G75" s="33">
        <v>40000</v>
      </c>
      <c r="H75" s="33">
        <v>44250</v>
      </c>
      <c r="I75" s="33"/>
      <c r="J75" s="33">
        <f t="shared" si="6"/>
        <v>62250</v>
      </c>
      <c r="K75" s="49">
        <v>25528</v>
      </c>
      <c r="L75" s="49">
        <f t="shared" si="7"/>
        <v>36722</v>
      </c>
      <c r="M75" s="53">
        <f t="shared" si="8"/>
        <v>6.6576184638355435E-3</v>
      </c>
      <c r="N75" s="87"/>
      <c r="O75" s="58"/>
      <c r="P75" s="87"/>
    </row>
    <row r="76" spans="1:16">
      <c r="A76" s="24">
        <v>241</v>
      </c>
      <c r="B76" s="20" t="s">
        <v>58</v>
      </c>
      <c r="C76" s="33">
        <v>6000</v>
      </c>
      <c r="D76" s="33"/>
      <c r="E76" s="33"/>
      <c r="F76" s="33"/>
      <c r="G76" s="33"/>
      <c r="H76" s="33"/>
      <c r="I76" s="33"/>
      <c r="J76" s="33">
        <f t="shared" si="6"/>
        <v>6000</v>
      </c>
      <c r="K76" s="49">
        <v>1891.4</v>
      </c>
      <c r="L76" s="49">
        <f t="shared" si="7"/>
        <v>4108.6000000000004</v>
      </c>
      <c r="M76" s="53">
        <f t="shared" si="8"/>
        <v>4.9327090106935701E-4</v>
      </c>
      <c r="N76" s="87"/>
      <c r="O76" s="58"/>
      <c r="P76" s="87"/>
    </row>
    <row r="77" spans="1:16">
      <c r="A77" s="24">
        <v>243</v>
      </c>
      <c r="B77" s="20" t="s">
        <v>43</v>
      </c>
      <c r="C77" s="33">
        <v>1100</v>
      </c>
      <c r="D77" s="33"/>
      <c r="E77" s="33"/>
      <c r="F77" s="33"/>
      <c r="G77" s="33"/>
      <c r="H77" s="33"/>
      <c r="I77" s="33"/>
      <c r="J77" s="33">
        <f t="shared" si="6"/>
        <v>1100</v>
      </c>
      <c r="K77" s="49">
        <v>485.19999999999993</v>
      </c>
      <c r="L77" s="49">
        <f t="shared" si="7"/>
        <v>614.80000000000007</v>
      </c>
      <c r="M77" s="53">
        <f t="shared" si="8"/>
        <v>1.2653856466049063E-4</v>
      </c>
      <c r="N77" s="87"/>
      <c r="O77" s="58"/>
    </row>
    <row r="78" spans="1:16">
      <c r="A78" s="24">
        <v>244</v>
      </c>
      <c r="B78" s="20" t="s">
        <v>44</v>
      </c>
      <c r="C78" s="33">
        <v>2255</v>
      </c>
      <c r="D78" s="33"/>
      <c r="E78" s="33"/>
      <c r="F78" s="33"/>
      <c r="G78" s="33"/>
      <c r="H78" s="33"/>
      <c r="I78" s="33"/>
      <c r="J78" s="33">
        <f t="shared" si="6"/>
        <v>2255</v>
      </c>
      <c r="K78" s="49">
        <v>1223.2</v>
      </c>
      <c r="L78" s="49">
        <f t="shared" si="7"/>
        <v>1031.8</v>
      </c>
      <c r="M78" s="53">
        <f t="shared" si="8"/>
        <v>3.190065381135865E-4</v>
      </c>
      <c r="N78" s="87"/>
      <c r="O78" s="58"/>
    </row>
    <row r="79" spans="1:16">
      <c r="A79" s="24">
        <v>245</v>
      </c>
      <c r="B79" s="20" t="s">
        <v>45</v>
      </c>
      <c r="C79" s="33">
        <v>1300</v>
      </c>
      <c r="D79" s="33"/>
      <c r="E79" s="33"/>
      <c r="F79" s="33"/>
      <c r="G79" s="33"/>
      <c r="H79" s="33"/>
      <c r="I79" s="33"/>
      <c r="J79" s="33">
        <f t="shared" si="6"/>
        <v>1300</v>
      </c>
      <c r="K79" s="49">
        <v>0</v>
      </c>
      <c r="L79" s="49">
        <f t="shared" si="7"/>
        <v>1300</v>
      </c>
      <c r="M79" s="53">
        <f t="shared" si="8"/>
        <v>0</v>
      </c>
      <c r="N79" s="87"/>
      <c r="O79" s="58"/>
    </row>
    <row r="80" spans="1:16">
      <c r="A80" s="24">
        <v>253</v>
      </c>
      <c r="B80" s="20" t="s">
        <v>37</v>
      </c>
      <c r="C80" s="33">
        <v>7500</v>
      </c>
      <c r="D80" s="33"/>
      <c r="E80" s="33"/>
      <c r="F80" s="33"/>
      <c r="G80" s="33"/>
      <c r="H80" s="33"/>
      <c r="I80" s="33"/>
      <c r="J80" s="33">
        <f t="shared" si="6"/>
        <v>7500</v>
      </c>
      <c r="K80" s="49">
        <v>0</v>
      </c>
      <c r="L80" s="49">
        <f t="shared" si="7"/>
        <v>7500</v>
      </c>
      <c r="M80" s="53">
        <f t="shared" si="8"/>
        <v>0</v>
      </c>
      <c r="N80" s="87"/>
      <c r="O80" s="58"/>
    </row>
    <row r="81" spans="1:15">
      <c r="A81" s="24">
        <v>254</v>
      </c>
      <c r="B81" s="20" t="s">
        <v>46</v>
      </c>
      <c r="C81" s="33">
        <v>750</v>
      </c>
      <c r="D81" s="33"/>
      <c r="E81" s="33"/>
      <c r="F81" s="33"/>
      <c r="G81" s="33"/>
      <c r="H81" s="33"/>
      <c r="I81" s="33"/>
      <c r="J81" s="33">
        <f t="shared" si="6"/>
        <v>750</v>
      </c>
      <c r="K81" s="49">
        <v>270</v>
      </c>
      <c r="L81" s="49">
        <f t="shared" si="7"/>
        <v>480</v>
      </c>
      <c r="M81" s="53">
        <f t="shared" si="8"/>
        <v>7.04151122389375E-5</v>
      </c>
      <c r="N81" s="87"/>
      <c r="O81" s="58"/>
    </row>
    <row r="82" spans="1:15">
      <c r="A82" s="24">
        <v>262</v>
      </c>
      <c r="B82" s="20" t="s">
        <v>59</v>
      </c>
      <c r="C82" s="33">
        <v>9770</v>
      </c>
      <c r="D82" s="33"/>
      <c r="E82" s="33"/>
      <c r="F82" s="33"/>
      <c r="G82" s="33"/>
      <c r="H82" s="33"/>
      <c r="I82" s="33"/>
      <c r="J82" s="33">
        <f t="shared" si="6"/>
        <v>9770</v>
      </c>
      <c r="K82" s="49">
        <v>7896.96</v>
      </c>
      <c r="L82" s="49">
        <f t="shared" si="7"/>
        <v>1873.04</v>
      </c>
      <c r="M82" s="53">
        <f t="shared" si="8"/>
        <v>2.0595012027644442E-3</v>
      </c>
      <c r="N82" s="87"/>
      <c r="O82" s="58"/>
    </row>
    <row r="83" spans="1:15">
      <c r="A83" s="24">
        <v>266</v>
      </c>
      <c r="B83" s="20" t="s">
        <v>60</v>
      </c>
      <c r="C83" s="33">
        <v>600</v>
      </c>
      <c r="D83" s="33">
        <v>1250</v>
      </c>
      <c r="E83" s="33"/>
      <c r="F83" s="33"/>
      <c r="G83" s="33"/>
      <c r="H83" s="33"/>
      <c r="I83" s="33"/>
      <c r="J83" s="33">
        <f t="shared" si="6"/>
        <v>1850</v>
      </c>
      <c r="K83" s="49">
        <v>1411.7599999999998</v>
      </c>
      <c r="L83" s="49">
        <f t="shared" si="7"/>
        <v>438.24000000000024</v>
      </c>
      <c r="M83" s="53">
        <f t="shared" si="8"/>
        <v>3.681823661275644E-4</v>
      </c>
      <c r="N83" s="87"/>
      <c r="O83" s="58"/>
    </row>
    <row r="84" spans="1:15">
      <c r="A84" s="24">
        <v>267</v>
      </c>
      <c r="B84" s="20" t="s">
        <v>86</v>
      </c>
      <c r="C84" s="33">
        <v>22000</v>
      </c>
      <c r="D84" s="33"/>
      <c r="E84" s="33"/>
      <c r="F84" s="33"/>
      <c r="G84" s="33"/>
      <c r="H84" s="33"/>
      <c r="I84" s="33"/>
      <c r="J84" s="33">
        <f t="shared" si="6"/>
        <v>22000</v>
      </c>
      <c r="K84" s="49">
        <v>13073.25</v>
      </c>
      <c r="L84" s="49">
        <f t="shared" si="7"/>
        <v>8926.75</v>
      </c>
      <c r="M84" s="53">
        <f t="shared" si="8"/>
        <v>3.4094606151025544E-3</v>
      </c>
      <c r="N84" s="87"/>
      <c r="O84" s="58"/>
    </row>
    <row r="85" spans="1:15">
      <c r="A85" s="24">
        <v>268</v>
      </c>
      <c r="B85" s="20" t="s">
        <v>61</v>
      </c>
      <c r="C85" s="33">
        <v>794</v>
      </c>
      <c r="D85" s="33">
        <v>1000</v>
      </c>
      <c r="E85" s="33"/>
      <c r="F85" s="33"/>
      <c r="G85" s="33"/>
      <c r="H85" s="33"/>
      <c r="I85" s="33"/>
      <c r="J85" s="33">
        <f t="shared" si="6"/>
        <v>1794</v>
      </c>
      <c r="K85" s="49">
        <v>795.00000000000023</v>
      </c>
      <c r="L85" s="49">
        <f t="shared" si="7"/>
        <v>998.99999999999977</v>
      </c>
      <c r="M85" s="53">
        <f t="shared" si="8"/>
        <v>2.0733338603687161E-4</v>
      </c>
      <c r="N85" s="87"/>
      <c r="O85" s="58"/>
    </row>
    <row r="86" spans="1:15">
      <c r="A86" s="24">
        <v>269</v>
      </c>
      <c r="B86" s="20" t="s">
        <v>62</v>
      </c>
      <c r="C86" s="33">
        <v>500</v>
      </c>
      <c r="D86" s="33">
        <v>750</v>
      </c>
      <c r="E86" s="33"/>
      <c r="F86" s="33"/>
      <c r="G86" s="33"/>
      <c r="H86" s="33"/>
      <c r="I86" s="33"/>
      <c r="J86" s="33">
        <f t="shared" si="6"/>
        <v>1250</v>
      </c>
      <c r="K86" s="49">
        <v>450</v>
      </c>
      <c r="L86" s="49">
        <f t="shared" si="7"/>
        <v>800</v>
      </c>
      <c r="M86" s="53">
        <f t="shared" si="8"/>
        <v>1.1735852039822917E-4</v>
      </c>
      <c r="N86" s="87"/>
      <c r="O86" s="58"/>
    </row>
    <row r="87" spans="1:15">
      <c r="A87" s="24">
        <v>271</v>
      </c>
      <c r="B87" s="20" t="s">
        <v>63</v>
      </c>
      <c r="C87" s="33">
        <v>160800</v>
      </c>
      <c r="D87" s="33"/>
      <c r="E87" s="33"/>
      <c r="F87" s="33"/>
      <c r="G87" s="33">
        <v>7700</v>
      </c>
      <c r="H87" s="33"/>
      <c r="I87" s="33"/>
      <c r="J87" s="33">
        <f t="shared" si="6"/>
        <v>153100</v>
      </c>
      <c r="K87" s="49">
        <v>152689.19</v>
      </c>
      <c r="L87" s="49">
        <f t="shared" si="7"/>
        <v>410.80999999999767</v>
      </c>
      <c r="M87" s="53">
        <f t="shared" si="8"/>
        <v>3.9820838709342422E-2</v>
      </c>
      <c r="N87" s="87"/>
      <c r="O87" s="58"/>
    </row>
    <row r="88" spans="1:15">
      <c r="A88" s="24">
        <v>283</v>
      </c>
      <c r="B88" s="20" t="s">
        <v>64</v>
      </c>
      <c r="C88" s="33">
        <v>1000</v>
      </c>
      <c r="D88" s="33"/>
      <c r="E88" s="33"/>
      <c r="F88" s="33"/>
      <c r="G88" s="33"/>
      <c r="H88" s="33">
        <v>500</v>
      </c>
      <c r="I88" s="33"/>
      <c r="J88" s="33">
        <f t="shared" si="6"/>
        <v>1500</v>
      </c>
      <c r="K88" s="49">
        <v>816.81999999999994</v>
      </c>
      <c r="L88" s="49">
        <f t="shared" si="7"/>
        <v>683.18000000000006</v>
      </c>
      <c r="M88" s="53">
        <f t="shared" si="8"/>
        <v>2.1302397029262566E-4</v>
      </c>
      <c r="N88" s="87"/>
      <c r="O88" s="58"/>
    </row>
    <row r="89" spans="1:15">
      <c r="A89" s="24">
        <v>284</v>
      </c>
      <c r="B89" s="20" t="s">
        <v>47</v>
      </c>
      <c r="C89" s="33">
        <v>7500</v>
      </c>
      <c r="D89" s="33"/>
      <c r="E89" s="33"/>
      <c r="F89" s="33"/>
      <c r="G89" s="33"/>
      <c r="H89" s="33">
        <v>5000</v>
      </c>
      <c r="I89" s="33"/>
      <c r="J89" s="33">
        <f t="shared" si="6"/>
        <v>12500</v>
      </c>
      <c r="K89" s="49">
        <v>0</v>
      </c>
      <c r="L89" s="49">
        <f t="shared" si="7"/>
        <v>12500</v>
      </c>
      <c r="M89" s="53">
        <f t="shared" si="8"/>
        <v>0</v>
      </c>
      <c r="N89" s="87"/>
      <c r="O89" s="58"/>
    </row>
    <row r="90" spans="1:15">
      <c r="A90" s="24">
        <v>285</v>
      </c>
      <c r="B90" s="20" t="s">
        <v>113</v>
      </c>
      <c r="C90" s="33">
        <v>807000</v>
      </c>
      <c r="D90" s="33"/>
      <c r="E90" s="33"/>
      <c r="F90" s="33">
        <v>50000</v>
      </c>
      <c r="G90" s="33"/>
      <c r="H90" s="33"/>
      <c r="I90" s="33"/>
      <c r="J90" s="33">
        <f t="shared" si="6"/>
        <v>857000</v>
      </c>
      <c r="K90" s="49">
        <v>0</v>
      </c>
      <c r="L90" s="49">
        <f t="shared" si="7"/>
        <v>857000</v>
      </c>
      <c r="M90" s="53">
        <f t="shared" si="8"/>
        <v>0</v>
      </c>
      <c r="N90" s="87"/>
      <c r="O90" s="58"/>
    </row>
    <row r="91" spans="1:15">
      <c r="A91" s="24">
        <v>291</v>
      </c>
      <c r="B91" s="20" t="s">
        <v>65</v>
      </c>
      <c r="C91" s="33">
        <v>9000</v>
      </c>
      <c r="D91" s="33"/>
      <c r="E91" s="33"/>
      <c r="F91" s="33"/>
      <c r="G91" s="33"/>
      <c r="H91" s="33"/>
      <c r="I91" s="33"/>
      <c r="J91" s="33">
        <f t="shared" si="6"/>
        <v>9000</v>
      </c>
      <c r="K91" s="49">
        <v>2854.34</v>
      </c>
      <c r="L91" s="49">
        <f t="shared" si="7"/>
        <v>6145.66</v>
      </c>
      <c r="M91" s="53">
        <f t="shared" si="8"/>
        <v>7.4440248691884771E-4</v>
      </c>
      <c r="N91" s="87"/>
      <c r="O91" s="58"/>
    </row>
    <row r="92" spans="1:15">
      <c r="A92" s="24">
        <v>292</v>
      </c>
      <c r="B92" s="20" t="s">
        <v>66</v>
      </c>
      <c r="C92" s="33">
        <v>1800</v>
      </c>
      <c r="D92" s="33"/>
      <c r="E92" s="33"/>
      <c r="F92" s="33"/>
      <c r="G92" s="33"/>
      <c r="H92" s="33"/>
      <c r="I92" s="33"/>
      <c r="J92" s="33">
        <f t="shared" si="6"/>
        <v>1800</v>
      </c>
      <c r="K92" s="49">
        <v>1171.5999999999999</v>
      </c>
      <c r="L92" s="49">
        <f t="shared" si="7"/>
        <v>628.40000000000009</v>
      </c>
      <c r="M92" s="53">
        <f t="shared" si="8"/>
        <v>3.0554942777458953E-4</v>
      </c>
      <c r="N92" s="87"/>
      <c r="O92" s="58"/>
    </row>
    <row r="93" spans="1:15">
      <c r="A93" s="24">
        <v>294</v>
      </c>
      <c r="B93" s="20" t="s">
        <v>67</v>
      </c>
      <c r="C93" s="33">
        <v>140250</v>
      </c>
      <c r="D93" s="43"/>
      <c r="E93" s="43"/>
      <c r="F93" s="33"/>
      <c r="G93" s="33"/>
      <c r="H93" s="33">
        <v>17000</v>
      </c>
      <c r="I93" s="33"/>
      <c r="J93" s="33">
        <f t="shared" si="6"/>
        <v>157250</v>
      </c>
      <c r="K93" s="49">
        <v>85674.64</v>
      </c>
      <c r="L93" s="49">
        <f t="shared" si="7"/>
        <v>71575.360000000001</v>
      </c>
      <c r="M93" s="53">
        <f t="shared" si="8"/>
        <v>2.2343664413446537E-2</v>
      </c>
      <c r="N93" s="87"/>
      <c r="O93" s="58"/>
    </row>
    <row r="94" spans="1:15">
      <c r="A94" s="24">
        <v>296</v>
      </c>
      <c r="B94" s="20" t="s">
        <v>180</v>
      </c>
      <c r="C94" s="33">
        <v>500</v>
      </c>
      <c r="D94" s="33"/>
      <c r="E94" s="33"/>
      <c r="F94" s="33"/>
      <c r="G94" s="33"/>
      <c r="H94" s="33"/>
      <c r="I94" s="33"/>
      <c r="J94" s="33">
        <f t="shared" si="6"/>
        <v>500</v>
      </c>
      <c r="K94" s="49">
        <v>0</v>
      </c>
      <c r="L94" s="49">
        <f t="shared" si="7"/>
        <v>500</v>
      </c>
      <c r="M94" s="53">
        <f t="shared" si="8"/>
        <v>0</v>
      </c>
      <c r="N94" s="87"/>
      <c r="O94" s="58"/>
    </row>
    <row r="95" spans="1:15">
      <c r="A95" s="24">
        <v>297</v>
      </c>
      <c r="B95" s="20" t="s">
        <v>68</v>
      </c>
      <c r="C95" s="33">
        <v>1000</v>
      </c>
      <c r="D95" s="33"/>
      <c r="E95" s="33"/>
      <c r="F95" s="33"/>
      <c r="G95" s="33"/>
      <c r="H95" s="33"/>
      <c r="I95" s="33"/>
      <c r="J95" s="33">
        <f t="shared" si="6"/>
        <v>1000</v>
      </c>
      <c r="K95" s="49">
        <v>530.17999999999995</v>
      </c>
      <c r="L95" s="49">
        <f t="shared" si="7"/>
        <v>469.82000000000005</v>
      </c>
      <c r="M95" s="53">
        <f t="shared" si="8"/>
        <v>1.3826920076607363E-4</v>
      </c>
      <c r="N95" s="87"/>
      <c r="O95" s="58"/>
    </row>
    <row r="96" spans="1:15">
      <c r="A96" s="24">
        <v>298</v>
      </c>
      <c r="B96" s="20" t="s">
        <v>25</v>
      </c>
      <c r="C96" s="33">
        <v>85460</v>
      </c>
      <c r="D96" s="43"/>
      <c r="E96" s="43">
        <v>20000</v>
      </c>
      <c r="F96" s="33"/>
      <c r="G96" s="33">
        <v>25000</v>
      </c>
      <c r="H96" s="33">
        <v>6600</v>
      </c>
      <c r="I96" s="33"/>
      <c r="J96" s="33">
        <f t="shared" si="6"/>
        <v>47060</v>
      </c>
      <c r="K96" s="49">
        <v>11887.43</v>
      </c>
      <c r="L96" s="49">
        <f t="shared" si="7"/>
        <v>35172.57</v>
      </c>
      <c r="M96" s="53">
        <f t="shared" si="8"/>
        <v>3.100202658083381E-3</v>
      </c>
      <c r="N96" s="87"/>
      <c r="O96" s="58"/>
    </row>
    <row r="97" spans="1:15">
      <c r="A97" s="24">
        <v>299</v>
      </c>
      <c r="B97" s="20" t="s">
        <v>69</v>
      </c>
      <c r="C97" s="33">
        <v>12000</v>
      </c>
      <c r="D97" s="43"/>
      <c r="E97" s="43"/>
      <c r="F97" s="33"/>
      <c r="G97" s="33"/>
      <c r="H97" s="33"/>
      <c r="I97" s="33"/>
      <c r="J97" s="33">
        <f t="shared" si="6"/>
        <v>12000</v>
      </c>
      <c r="K97" s="49">
        <v>2947.1000000000004</v>
      </c>
      <c r="L97" s="49">
        <f t="shared" si="7"/>
        <v>9052.9</v>
      </c>
      <c r="M97" s="53">
        <f t="shared" si="8"/>
        <v>7.6859398992360276E-4</v>
      </c>
      <c r="N97" s="87"/>
      <c r="O97" s="58"/>
    </row>
    <row r="98" spans="1:15">
      <c r="A98" s="24"/>
      <c r="B98" s="20"/>
      <c r="C98" s="33"/>
      <c r="D98" s="43"/>
      <c r="E98" s="43"/>
      <c r="F98" s="33"/>
      <c r="G98" s="33"/>
      <c r="H98" s="33"/>
      <c r="I98" s="33"/>
      <c r="J98" s="33"/>
      <c r="K98" s="81"/>
      <c r="L98" s="49"/>
      <c r="M98" s="53"/>
      <c r="N98" s="87"/>
      <c r="O98" s="58"/>
    </row>
    <row r="99" spans="1:15">
      <c r="A99" s="23">
        <v>3</v>
      </c>
      <c r="B99" s="23" t="s">
        <v>129</v>
      </c>
      <c r="C99" s="33"/>
      <c r="D99" s="33"/>
      <c r="E99" s="33"/>
      <c r="F99" s="33"/>
      <c r="G99" s="33"/>
      <c r="H99" s="33"/>
      <c r="I99" s="33"/>
      <c r="J99" s="33"/>
      <c r="K99" s="83"/>
      <c r="L99" s="49"/>
      <c r="M99" s="53"/>
      <c r="N99" s="87"/>
      <c r="O99" s="58"/>
    </row>
    <row r="100" spans="1:15">
      <c r="A100" s="24">
        <v>322</v>
      </c>
      <c r="B100" s="20" t="s">
        <v>83</v>
      </c>
      <c r="C100" s="33">
        <v>18000</v>
      </c>
      <c r="D100" s="33"/>
      <c r="E100" s="33"/>
      <c r="F100" s="33"/>
      <c r="G100" s="33"/>
      <c r="H100" s="33"/>
      <c r="I100" s="33"/>
      <c r="J100" s="33">
        <f t="shared" ref="J100:J105" si="9">C100+D100-E100+F100-G100+H100-I100</f>
        <v>18000</v>
      </c>
      <c r="K100" s="49">
        <v>0</v>
      </c>
      <c r="L100" s="49">
        <f t="shared" ref="L100:L105" si="10">J100-K100</f>
        <v>18000</v>
      </c>
      <c r="M100" s="53">
        <f t="shared" ref="M100:M105" si="11">K100/$K$114</f>
        <v>0</v>
      </c>
      <c r="N100" s="87"/>
      <c r="O100" s="58"/>
    </row>
    <row r="101" spans="1:15" hidden="1">
      <c r="A101" s="24">
        <v>323</v>
      </c>
      <c r="B101" s="20" t="s">
        <v>119</v>
      </c>
      <c r="C101" s="33">
        <v>0</v>
      </c>
      <c r="D101" s="33"/>
      <c r="E101" s="33"/>
      <c r="F101" s="33"/>
      <c r="G101" s="33"/>
      <c r="H101" s="33"/>
      <c r="I101" s="33"/>
      <c r="J101" s="33">
        <f t="shared" si="9"/>
        <v>0</v>
      </c>
      <c r="K101" s="49"/>
      <c r="L101" s="49">
        <f t="shared" si="10"/>
        <v>0</v>
      </c>
      <c r="M101" s="53">
        <f t="shared" si="11"/>
        <v>0</v>
      </c>
      <c r="N101" s="87"/>
      <c r="O101" s="58"/>
    </row>
    <row r="102" spans="1:15">
      <c r="A102" s="24">
        <v>324</v>
      </c>
      <c r="B102" s="20" t="s">
        <v>120</v>
      </c>
      <c r="C102" s="33">
        <v>2147922.54</v>
      </c>
      <c r="D102" s="33"/>
      <c r="E102" s="33"/>
      <c r="F102" s="33"/>
      <c r="G102" s="33"/>
      <c r="H102" s="33">
        <v>19200</v>
      </c>
      <c r="I102" s="33"/>
      <c r="J102" s="33">
        <f t="shared" si="9"/>
        <v>2167122.54</v>
      </c>
      <c r="K102" s="49">
        <v>89975</v>
      </c>
      <c r="L102" s="49">
        <f t="shared" si="10"/>
        <v>2077147.54</v>
      </c>
      <c r="M102" s="53">
        <f t="shared" si="11"/>
        <v>2.3465184161845933E-2</v>
      </c>
      <c r="N102" s="87"/>
      <c r="O102" s="58"/>
    </row>
    <row r="103" spans="1:15">
      <c r="A103" s="24">
        <v>328</v>
      </c>
      <c r="B103" s="20" t="s">
        <v>84</v>
      </c>
      <c r="C103" s="33">
        <v>7500</v>
      </c>
      <c r="D103" s="33"/>
      <c r="E103" s="33"/>
      <c r="F103" s="33"/>
      <c r="G103" s="33"/>
      <c r="H103" s="33">
        <v>2900</v>
      </c>
      <c r="I103" s="33"/>
      <c r="J103" s="33">
        <f t="shared" si="9"/>
        <v>10400</v>
      </c>
      <c r="K103" s="49">
        <v>0</v>
      </c>
      <c r="L103" s="49">
        <f t="shared" si="10"/>
        <v>10400</v>
      </c>
      <c r="M103" s="53">
        <f t="shared" si="11"/>
        <v>0</v>
      </c>
      <c r="N103" s="87"/>
      <c r="O103" s="58"/>
    </row>
    <row r="104" spans="1:15">
      <c r="A104" s="24">
        <v>329</v>
      </c>
      <c r="B104" s="20" t="s">
        <v>85</v>
      </c>
      <c r="C104" s="33">
        <v>10500</v>
      </c>
      <c r="D104" s="33"/>
      <c r="E104" s="33"/>
      <c r="F104" s="33"/>
      <c r="G104" s="33"/>
      <c r="H104" s="33">
        <v>2750</v>
      </c>
      <c r="I104" s="33"/>
      <c r="J104" s="33">
        <f t="shared" si="9"/>
        <v>13250</v>
      </c>
      <c r="K104" s="49">
        <v>5995</v>
      </c>
      <c r="L104" s="49">
        <f t="shared" si="10"/>
        <v>7255</v>
      </c>
      <c r="M104" s="53">
        <f t="shared" si="11"/>
        <v>1.5634762884164087E-3</v>
      </c>
      <c r="N104" s="87"/>
      <c r="O104" s="58"/>
    </row>
    <row r="105" spans="1:15">
      <c r="A105" s="24">
        <v>332</v>
      </c>
      <c r="B105" s="20" t="s">
        <v>140</v>
      </c>
      <c r="C105" s="33">
        <v>2388358.86</v>
      </c>
      <c r="D105" s="33"/>
      <c r="E105" s="33"/>
      <c r="F105" s="33"/>
      <c r="G105" s="33"/>
      <c r="H105" s="33"/>
      <c r="I105" s="33"/>
      <c r="J105" s="33">
        <f t="shared" si="9"/>
        <v>2388358.86</v>
      </c>
      <c r="K105" s="49">
        <v>0</v>
      </c>
      <c r="L105" s="49">
        <f t="shared" si="10"/>
        <v>2388358.86</v>
      </c>
      <c r="M105" s="53">
        <f t="shared" si="11"/>
        <v>0</v>
      </c>
      <c r="N105" s="87"/>
      <c r="O105" s="58"/>
    </row>
    <row r="106" spans="1:15">
      <c r="A106" s="24"/>
      <c r="B106" s="20"/>
      <c r="C106" s="33"/>
      <c r="D106" s="33"/>
      <c r="E106" s="33"/>
      <c r="F106" s="33"/>
      <c r="G106" s="33"/>
      <c r="H106" s="33"/>
      <c r="I106" s="33"/>
      <c r="J106" s="33"/>
      <c r="K106" s="81"/>
      <c r="L106" s="49"/>
      <c r="M106" s="53"/>
      <c r="N106" s="87"/>
      <c r="O106" s="58"/>
    </row>
    <row r="107" spans="1:15">
      <c r="A107" s="23">
        <v>4</v>
      </c>
      <c r="B107" s="23" t="s">
        <v>12</v>
      </c>
      <c r="C107" s="33"/>
      <c r="D107" s="33"/>
      <c r="E107" s="33"/>
      <c r="F107" s="33"/>
      <c r="G107" s="33"/>
      <c r="H107" s="33"/>
      <c r="I107" s="33"/>
      <c r="J107" s="33"/>
      <c r="K107" s="81"/>
      <c r="L107" s="49"/>
      <c r="M107" s="53"/>
      <c r="N107" s="87"/>
      <c r="O107" s="58"/>
    </row>
    <row r="108" spans="1:15">
      <c r="A108" s="25">
        <v>413</v>
      </c>
      <c r="B108" s="26" t="s">
        <v>72</v>
      </c>
      <c r="C108" s="33">
        <v>20750</v>
      </c>
      <c r="D108" s="33"/>
      <c r="E108" s="33"/>
      <c r="F108" s="33"/>
      <c r="G108" s="33"/>
      <c r="H108" s="33"/>
      <c r="I108" s="33"/>
      <c r="J108" s="33">
        <f t="shared" ref="J108:J112" si="12">C108+D108-E108+F108-G108+H108-I108</f>
        <v>20750</v>
      </c>
      <c r="K108" s="49">
        <v>0</v>
      </c>
      <c r="L108" s="49">
        <f t="shared" ref="L108:L112" si="13">J108-K108</f>
        <v>20750</v>
      </c>
      <c r="M108" s="53">
        <f>K108/$K$114</f>
        <v>0</v>
      </c>
      <c r="N108" s="87"/>
      <c r="O108" s="58"/>
    </row>
    <row r="109" spans="1:15">
      <c r="A109" s="25">
        <v>415</v>
      </c>
      <c r="B109" s="26" t="s">
        <v>73</v>
      </c>
      <c r="C109" s="33">
        <v>7600</v>
      </c>
      <c r="D109" s="33"/>
      <c r="E109" s="33"/>
      <c r="F109" s="33"/>
      <c r="G109" s="33"/>
      <c r="H109" s="33"/>
      <c r="I109" s="33"/>
      <c r="J109" s="33">
        <f t="shared" si="12"/>
        <v>7600</v>
      </c>
      <c r="K109" s="49">
        <v>0</v>
      </c>
      <c r="L109" s="49">
        <f t="shared" si="13"/>
        <v>7600</v>
      </c>
      <c r="M109" s="53">
        <f>K109/$K$114</f>
        <v>0</v>
      </c>
      <c r="N109" s="87"/>
      <c r="O109" s="58"/>
    </row>
    <row r="110" spans="1:15">
      <c r="A110" s="25">
        <v>419</v>
      </c>
      <c r="B110" s="26" t="s">
        <v>74</v>
      </c>
      <c r="C110" s="33">
        <v>19200</v>
      </c>
      <c r="D110" s="33"/>
      <c r="E110" s="33"/>
      <c r="F110" s="33"/>
      <c r="G110" s="33"/>
      <c r="H110" s="33"/>
      <c r="I110" s="33"/>
      <c r="J110" s="33">
        <f t="shared" si="12"/>
        <v>19200</v>
      </c>
      <c r="K110" s="49">
        <v>11400</v>
      </c>
      <c r="L110" s="49">
        <f t="shared" si="13"/>
        <v>7800</v>
      </c>
      <c r="M110" s="53">
        <f>K110/$K$114</f>
        <v>2.9730825167551393E-3</v>
      </c>
      <c r="N110" s="87"/>
      <c r="O110" s="58"/>
    </row>
    <row r="111" spans="1:15">
      <c r="A111" s="25">
        <v>453</v>
      </c>
      <c r="B111" s="26" t="s">
        <v>75</v>
      </c>
      <c r="C111" s="33">
        <v>255000</v>
      </c>
      <c r="D111" s="33"/>
      <c r="E111" s="33"/>
      <c r="F111" s="33"/>
      <c r="G111" s="33">
        <v>50000</v>
      </c>
      <c r="H111" s="33"/>
      <c r="I111" s="33"/>
      <c r="J111" s="33">
        <f t="shared" si="12"/>
        <v>205000</v>
      </c>
      <c r="K111" s="49">
        <v>129195.56</v>
      </c>
      <c r="L111" s="49">
        <f t="shared" si="13"/>
        <v>75804.44</v>
      </c>
      <c r="M111" s="53">
        <f>K111/$K$114</f>
        <v>3.3693777252490315E-2</v>
      </c>
      <c r="N111" s="87"/>
      <c r="O111" s="58"/>
    </row>
    <row r="112" spans="1:15">
      <c r="A112" s="25">
        <v>472</v>
      </c>
      <c r="B112" s="26" t="s">
        <v>105</v>
      </c>
      <c r="C112" s="33">
        <v>8200</v>
      </c>
      <c r="D112" s="33">
        <v>12000</v>
      </c>
      <c r="E112" s="33"/>
      <c r="F112" s="33"/>
      <c r="G112" s="33"/>
      <c r="H112" s="33"/>
      <c r="I112" s="33"/>
      <c r="J112" s="33">
        <f t="shared" si="12"/>
        <v>20200</v>
      </c>
      <c r="K112" s="49">
        <v>4628.7699999999995</v>
      </c>
      <c r="L112" s="49">
        <f t="shared" si="13"/>
        <v>15571.23</v>
      </c>
      <c r="M112" s="53">
        <f>K112/$K$114</f>
        <v>1.207167996586025E-3</v>
      </c>
      <c r="N112" s="87"/>
      <c r="O112" s="58"/>
    </row>
    <row r="113" spans="1:15" ht="20.25" customHeight="1" thickBot="1">
      <c r="A113" s="22"/>
      <c r="B113" s="64"/>
      <c r="C113" s="18"/>
      <c r="D113" s="33"/>
      <c r="E113" s="33"/>
      <c r="F113" s="44"/>
      <c r="G113" s="44"/>
      <c r="H113" s="44"/>
      <c r="I113" s="44"/>
      <c r="J113" s="18"/>
      <c r="K113" s="84"/>
      <c r="L113" s="50"/>
      <c r="M113" s="53"/>
      <c r="O113" s="58"/>
    </row>
    <row r="114" spans="1:15" ht="20.25" customHeight="1" thickBot="1">
      <c r="A114" s="65"/>
      <c r="B114" s="8" t="s">
        <v>7</v>
      </c>
      <c r="C114" s="94">
        <f>SUM(C21:C113)</f>
        <v>10577202.25</v>
      </c>
      <c r="D114" s="94">
        <f>SUM(D21:D113)</f>
        <v>280000</v>
      </c>
      <c r="E114" s="94">
        <f>SUM(E21:E113)</f>
        <v>280000</v>
      </c>
      <c r="F114" s="94">
        <f t="shared" ref="F114:I114" si="14">SUM(F21:F113)</f>
        <v>287200</v>
      </c>
      <c r="G114" s="94">
        <f t="shared" si="14"/>
        <v>287200</v>
      </c>
      <c r="H114" s="94">
        <f t="shared" si="14"/>
        <v>136000</v>
      </c>
      <c r="I114" s="94">
        <f t="shared" si="14"/>
        <v>136000</v>
      </c>
      <c r="J114" s="97">
        <f>ROUND((SUM(J21:J113)),2)</f>
        <v>10577202.25</v>
      </c>
      <c r="K114" s="97">
        <f>ROUND((SUM(K21:K113)),2)</f>
        <v>3834404.17</v>
      </c>
      <c r="L114" s="97">
        <f>ROUND((SUM(L21:L113)),2)</f>
        <v>6742798.0800000001</v>
      </c>
      <c r="M114" s="98">
        <f>K114/K114</f>
        <v>1</v>
      </c>
      <c r="O114" s="58"/>
    </row>
    <row r="115" spans="1:15" ht="20.25" customHeight="1">
      <c r="A115" s="66"/>
      <c r="B115" s="13"/>
      <c r="C115" s="14"/>
      <c r="D115" s="14"/>
      <c r="E115" s="14"/>
      <c r="F115" s="14"/>
      <c r="G115" s="27"/>
      <c r="H115" s="27"/>
      <c r="I115" s="14"/>
      <c r="J115" s="14"/>
      <c r="K115" s="85"/>
      <c r="L115" s="14"/>
      <c r="M115" s="15"/>
      <c r="O115" s="58"/>
    </row>
    <row r="116" spans="1:15" ht="20.25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85"/>
      <c r="L116" s="14"/>
      <c r="M116" s="15"/>
      <c r="O116" s="58"/>
    </row>
    <row r="117" spans="1:15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16"/>
      <c r="K117" s="86"/>
      <c r="L117" s="10"/>
      <c r="M117" s="11"/>
    </row>
    <row r="118" spans="1:15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16"/>
      <c r="K118" s="86"/>
      <c r="L118" s="10"/>
      <c r="M118" s="11"/>
    </row>
    <row r="119" spans="1:15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16"/>
      <c r="K119" s="86"/>
      <c r="L119" s="10"/>
      <c r="M119" s="11"/>
      <c r="O119" s="3"/>
    </row>
    <row r="120" spans="1:15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16"/>
      <c r="K120" s="86"/>
      <c r="L120" s="10"/>
      <c r="M120" s="11"/>
    </row>
    <row r="121" spans="1:15" s="12" customFormat="1">
      <c r="A121" s="105" t="s">
        <v>108</v>
      </c>
      <c r="B121" s="35"/>
      <c r="C121" s="101"/>
      <c r="D121" s="9"/>
      <c r="E121" s="9"/>
      <c r="F121" s="41"/>
      <c r="G121" s="41"/>
      <c r="H121" s="41"/>
      <c r="I121" s="41"/>
      <c r="J121" s="16"/>
      <c r="K121" s="86"/>
      <c r="L121" s="137"/>
      <c r="M121" s="138"/>
    </row>
    <row r="122" spans="1:15" s="12" customFormat="1">
      <c r="A122" s="106" t="s">
        <v>136</v>
      </c>
      <c r="B122" s="36"/>
      <c r="C122" s="142">
        <v>656637.59</v>
      </c>
      <c r="D122" s="9"/>
      <c r="E122" s="9"/>
      <c r="F122" s="41"/>
      <c r="G122" s="41"/>
      <c r="H122" s="41"/>
      <c r="I122" s="41"/>
      <c r="J122" s="16"/>
      <c r="K122" s="86"/>
      <c r="L122" s="137"/>
      <c r="M122" s="138"/>
    </row>
    <row r="123" spans="1:15" s="12" customFormat="1">
      <c r="A123" s="106" t="s">
        <v>76</v>
      </c>
      <c r="B123" s="36"/>
      <c r="C123" s="142">
        <f>K18</f>
        <v>3670906.27</v>
      </c>
      <c r="D123" s="9"/>
      <c r="E123" s="9"/>
      <c r="F123" s="41"/>
      <c r="G123" s="41"/>
      <c r="H123" s="41"/>
      <c r="I123" s="41"/>
      <c r="J123" s="16"/>
      <c r="K123" s="86"/>
      <c r="L123" s="137"/>
      <c r="M123" s="138"/>
    </row>
    <row r="124" spans="1:15" s="12" customFormat="1">
      <c r="A124" s="106" t="s">
        <v>87</v>
      </c>
      <c r="B124" s="36"/>
      <c r="C124" s="124">
        <f>-K114</f>
        <v>-3834404.17</v>
      </c>
      <c r="D124" s="9"/>
      <c r="E124" s="9"/>
      <c r="F124" s="41"/>
      <c r="G124" s="41"/>
      <c r="H124" s="41"/>
      <c r="I124" s="41"/>
      <c r="J124" s="16"/>
      <c r="K124" s="86"/>
      <c r="L124" s="137"/>
      <c r="M124" s="138"/>
    </row>
    <row r="125" spans="1:15" s="12" customFormat="1" ht="18" customHeight="1">
      <c r="A125" s="107" t="s">
        <v>107</v>
      </c>
      <c r="B125" s="36"/>
      <c r="C125" s="143">
        <f>SUM(C122:C124)</f>
        <v>493139.69000000041</v>
      </c>
      <c r="D125" s="68"/>
      <c r="E125" s="9"/>
      <c r="F125" s="41"/>
      <c r="G125" s="41"/>
      <c r="H125" s="41"/>
      <c r="I125" s="41"/>
      <c r="J125" s="16"/>
      <c r="K125" s="86"/>
      <c r="L125" s="137"/>
      <c r="M125" s="138"/>
    </row>
    <row r="126" spans="1:15" s="130" customFormat="1">
      <c r="A126" s="125" t="s">
        <v>170</v>
      </c>
      <c r="B126" s="35"/>
      <c r="C126" s="144"/>
      <c r="D126" s="126"/>
      <c r="E126" s="9"/>
      <c r="F126" s="41"/>
      <c r="G126" s="41"/>
      <c r="H126" s="41"/>
      <c r="I126" s="41"/>
      <c r="J126" s="16"/>
      <c r="K126" s="86"/>
      <c r="L126" s="139"/>
      <c r="M126" s="136"/>
    </row>
    <row r="127" spans="1:15" s="130" customFormat="1">
      <c r="A127" s="131" t="s">
        <v>184</v>
      </c>
      <c r="B127" s="35"/>
      <c r="C127" s="142">
        <v>2889.53</v>
      </c>
      <c r="D127" s="126"/>
      <c r="E127" s="9"/>
      <c r="F127" s="41"/>
      <c r="G127" s="41"/>
      <c r="H127" s="41"/>
      <c r="I127" s="41"/>
      <c r="J127" s="16"/>
      <c r="K127" s="86"/>
      <c r="L127" s="139"/>
      <c r="M127" s="136"/>
    </row>
    <row r="128" spans="1:15" s="130" customFormat="1">
      <c r="A128" s="131" t="s">
        <v>185</v>
      </c>
      <c r="B128" s="36"/>
      <c r="C128" s="142">
        <v>219.61</v>
      </c>
      <c r="D128" s="126"/>
      <c r="E128" s="9"/>
      <c r="F128" s="41"/>
      <c r="G128" s="41"/>
      <c r="H128" s="41"/>
      <c r="I128" s="41"/>
      <c r="J128" s="16"/>
      <c r="K128" s="86"/>
      <c r="L128" s="139"/>
      <c r="M128" s="136"/>
    </row>
    <row r="129" spans="1:13" s="130" customFormat="1">
      <c r="A129" s="131" t="s">
        <v>186</v>
      </c>
      <c r="B129" s="36"/>
      <c r="C129" s="142">
        <v>3984.86</v>
      </c>
      <c r="D129" s="126"/>
      <c r="E129" s="126"/>
      <c r="F129" s="132"/>
      <c r="G129" s="48"/>
      <c r="H129" s="127"/>
      <c r="I129" s="141"/>
      <c r="J129" s="141"/>
      <c r="K129" s="141"/>
      <c r="L129" s="129"/>
    </row>
    <row r="130" spans="1:13" s="12" customFormat="1" ht="6.95" customHeight="1">
      <c r="A130" s="131"/>
      <c r="B130" s="36"/>
      <c r="C130" s="124"/>
      <c r="D130" s="9"/>
      <c r="E130" s="40"/>
      <c r="F130" s="132"/>
      <c r="G130" s="48"/>
      <c r="H130" s="41"/>
      <c r="I130" s="140"/>
      <c r="J130" s="140"/>
      <c r="K130" s="140"/>
      <c r="L130" s="11"/>
    </row>
    <row r="131" spans="1:13" s="130" customFormat="1">
      <c r="A131" s="131"/>
      <c r="B131" s="36"/>
      <c r="C131" s="143">
        <f>SUM(C127:C130)</f>
        <v>7094</v>
      </c>
      <c r="D131" s="126"/>
      <c r="E131" s="126"/>
      <c r="F131" s="132"/>
      <c r="G131" s="48"/>
      <c r="H131" s="127"/>
      <c r="I131" s="141"/>
      <c r="J131" s="141"/>
      <c r="K131" s="141"/>
      <c r="L131" s="129"/>
    </row>
    <row r="132" spans="1:13" s="130" customFormat="1" ht="6.95" customHeight="1">
      <c r="A132" s="131"/>
      <c r="B132" s="36"/>
      <c r="C132" s="145"/>
      <c r="D132" s="126"/>
      <c r="E132" s="126"/>
      <c r="F132" s="41"/>
      <c r="G132" s="41"/>
      <c r="H132" s="127"/>
      <c r="I132" s="141"/>
      <c r="J132" s="141"/>
      <c r="K132" s="141"/>
      <c r="L132" s="129"/>
    </row>
    <row r="133" spans="1:13" s="130" customFormat="1" ht="6.95" customHeight="1">
      <c r="A133" s="131"/>
      <c r="B133" s="36"/>
      <c r="C133" s="146"/>
      <c r="D133" s="126"/>
      <c r="E133" s="126"/>
      <c r="F133" s="41"/>
      <c r="G133" s="41"/>
      <c r="H133" s="127"/>
      <c r="I133" s="141"/>
      <c r="J133" s="141"/>
      <c r="K133" s="141"/>
      <c r="L133" s="129"/>
    </row>
    <row r="134" spans="1:13" s="130" customFormat="1" ht="18.75" thickBot="1">
      <c r="A134" s="133" t="s">
        <v>182</v>
      </c>
      <c r="B134" s="39"/>
      <c r="C134" s="147">
        <f>C125+C131</f>
        <v>500233.69000000041</v>
      </c>
      <c r="D134" s="134"/>
      <c r="F134" s="41"/>
      <c r="G134" s="41"/>
      <c r="H134" s="127"/>
      <c r="I134" s="128"/>
      <c r="J134" s="9"/>
      <c r="K134" s="10"/>
      <c r="L134" s="129"/>
    </row>
    <row r="135" spans="1:13" s="130" customFormat="1" ht="6.95" customHeight="1" thickTop="1" thickBot="1">
      <c r="A135" s="135"/>
      <c r="B135" s="38"/>
      <c r="C135" s="148"/>
      <c r="D135" s="134"/>
      <c r="F135" s="41"/>
      <c r="G135" s="41"/>
      <c r="H135" s="127"/>
      <c r="I135" s="128"/>
      <c r="J135" s="9"/>
      <c r="K135" s="10"/>
      <c r="L135" s="129"/>
    </row>
    <row r="136" spans="1:13">
      <c r="A136" s="17"/>
      <c r="C136" s="123"/>
      <c r="D136" s="69"/>
      <c r="G136" s="45"/>
      <c r="H136" s="45"/>
      <c r="I136" s="45"/>
      <c r="J136" s="45"/>
      <c r="L136" s="45"/>
      <c r="M136" s="45"/>
    </row>
    <row r="137" spans="1:13">
      <c r="A137" s="17"/>
      <c r="B137" s="17"/>
      <c r="C137" s="123"/>
      <c r="D137" s="69"/>
      <c r="G137" s="45"/>
      <c r="H137" s="45"/>
      <c r="I137" s="45"/>
      <c r="J137" s="45"/>
      <c r="L137" s="45"/>
      <c r="M137" s="45"/>
    </row>
    <row r="138" spans="1:13">
      <c r="A138" s="13"/>
      <c r="B138" s="70" t="s">
        <v>183</v>
      </c>
      <c r="C138" s="123"/>
      <c r="D138" s="69"/>
      <c r="E138" s="40"/>
      <c r="G138" s="45"/>
      <c r="H138" s="45"/>
      <c r="J138" s="45"/>
      <c r="L138" s="45"/>
      <c r="M138" s="45"/>
    </row>
    <row r="139" spans="1:13">
      <c r="A139" s="13"/>
      <c r="B139" s="17"/>
      <c r="C139" s="45"/>
      <c r="D139" s="69"/>
      <c r="E139" s="45"/>
      <c r="F139" s="45"/>
      <c r="G139" s="45"/>
      <c r="H139" s="45"/>
      <c r="I139" s="45"/>
      <c r="J139" s="45"/>
      <c r="L139" s="45"/>
      <c r="M139" s="45"/>
    </row>
    <row r="140" spans="1:13">
      <c r="A140" s="13"/>
      <c r="B140" s="149"/>
      <c r="C140" s="45"/>
      <c r="D140" s="69"/>
      <c r="E140" s="45"/>
      <c r="F140" s="45"/>
      <c r="G140" s="45"/>
      <c r="H140" s="45"/>
      <c r="I140" s="45"/>
      <c r="J140" s="45"/>
      <c r="L140" s="45"/>
      <c r="M140" s="45"/>
    </row>
    <row r="141" spans="1:13">
      <c r="A141" s="13"/>
      <c r="B141" s="149"/>
      <c r="C141" s="45"/>
      <c r="D141" s="69"/>
      <c r="E141" s="45"/>
      <c r="F141" s="45"/>
      <c r="G141" s="45"/>
      <c r="H141" s="45"/>
      <c r="I141" s="45"/>
      <c r="J141" s="45"/>
      <c r="L141" s="45"/>
      <c r="M141" s="45"/>
    </row>
    <row r="142" spans="1:13">
      <c r="A142" s="13"/>
      <c r="B142" s="17"/>
      <c r="C142" s="45"/>
      <c r="E142" s="45"/>
      <c r="F142" s="45"/>
      <c r="G142" s="45"/>
      <c r="H142" s="45"/>
      <c r="I142" s="45"/>
      <c r="J142" s="45"/>
      <c r="L142" s="45"/>
      <c r="M142" s="45"/>
    </row>
    <row r="143" spans="1:13">
      <c r="A143" s="66"/>
      <c r="B143" s="17"/>
      <c r="C143" s="45"/>
      <c r="D143" s="16"/>
      <c r="E143" s="40"/>
      <c r="F143" s="40"/>
      <c r="G143" s="45"/>
      <c r="H143" s="45"/>
      <c r="I143" s="45"/>
      <c r="J143" s="45"/>
      <c r="L143" s="45"/>
      <c r="M143" s="45"/>
    </row>
    <row r="144" spans="1:13">
      <c r="A144" s="66"/>
      <c r="B144" s="45"/>
      <c r="C144" s="45"/>
      <c r="D144" s="45"/>
      <c r="E144" s="40"/>
      <c r="F144" s="40"/>
      <c r="G144" s="45"/>
      <c r="H144" s="45"/>
      <c r="I144" s="45"/>
      <c r="J144" s="45"/>
      <c r="L144" s="45"/>
      <c r="M144" s="45"/>
    </row>
    <row r="145" spans="1:13" ht="18.75">
      <c r="A145" s="66"/>
      <c r="B145" s="46" t="s">
        <v>124</v>
      </c>
      <c r="D145" s="112" t="s">
        <v>138</v>
      </c>
      <c r="E145" s="46"/>
      <c r="F145" s="46"/>
      <c r="I145" s="113" t="s">
        <v>127</v>
      </c>
      <c r="K145" s="88"/>
      <c r="L145" s="51"/>
      <c r="M145" s="46"/>
    </row>
    <row r="146" spans="1:13" s="115" customFormat="1" ht="15.75">
      <c r="A146" s="114"/>
      <c r="B146" s="56" t="s">
        <v>125</v>
      </c>
      <c r="D146" s="116" t="s">
        <v>126</v>
      </c>
      <c r="E146" s="56"/>
      <c r="F146" s="56"/>
      <c r="I146" s="117" t="s">
        <v>123</v>
      </c>
      <c r="K146" s="118"/>
      <c r="L146" s="56"/>
      <c r="M146" s="56"/>
    </row>
    <row r="147" spans="1:13" ht="18.75">
      <c r="A147" s="66"/>
      <c r="B147" s="47"/>
      <c r="C147" s="71"/>
      <c r="D147" s="51"/>
      <c r="E147" s="47"/>
      <c r="F147" s="47"/>
      <c r="G147" s="47"/>
      <c r="H147" s="47"/>
      <c r="I147" s="51"/>
      <c r="J147" s="71"/>
      <c r="K147" s="88"/>
      <c r="L147" s="47"/>
      <c r="M147" s="47"/>
    </row>
    <row r="148" spans="1:13" ht="18.75">
      <c r="A148" s="66"/>
      <c r="B148" s="47"/>
      <c r="C148" s="47"/>
      <c r="D148" s="47"/>
      <c r="F148" s="47"/>
      <c r="G148" s="47"/>
      <c r="H148" s="47"/>
      <c r="I148" s="112"/>
      <c r="J148" s="47"/>
      <c r="K148" s="88"/>
      <c r="M148" s="47"/>
    </row>
  </sheetData>
  <mergeCells count="3">
    <mergeCell ref="A6:A7"/>
    <mergeCell ref="B6:B7"/>
    <mergeCell ref="K6:K7"/>
  </mergeCells>
  <printOptions horizontalCentered="1"/>
  <pageMargins left="0" right="0" top="0.78740157480314965" bottom="0.86614173228346458" header="0.31496062992125984" footer="0.31496062992125984"/>
  <pageSetup scale="5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showGridLines="0" zoomScale="75" zoomScaleNormal="75" workbookViewId="0"/>
  </sheetViews>
  <sheetFormatPr baseColWidth="10" defaultColWidth="11.42578125" defaultRowHeight="18"/>
  <cols>
    <col min="1" max="1" width="9.7109375" style="3" customWidth="1"/>
    <col min="2" max="2" width="59.7109375" style="3" customWidth="1"/>
    <col min="3" max="3" width="18.42578125" style="3" customWidth="1"/>
    <col min="4" max="11" width="15.28515625" style="3" customWidth="1"/>
    <col min="12" max="12" width="18.42578125" style="3" customWidth="1"/>
    <col min="13" max="13" width="17.7109375" style="87" customWidth="1"/>
    <col min="14" max="14" width="17.7109375" style="3" customWidth="1"/>
    <col min="15" max="15" width="12.7109375" style="3" customWidth="1"/>
    <col min="16" max="16" width="7" style="3" customWidth="1"/>
    <col min="17" max="17" width="18.7109375" style="3" customWidth="1"/>
    <col min="18" max="18" width="15.42578125" style="3" bestFit="1" customWidth="1"/>
    <col min="19" max="16384" width="11.42578125" style="3"/>
  </cols>
  <sheetData>
    <row r="1" spans="1:17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80"/>
      <c r="N1" s="42"/>
      <c r="O1" s="42"/>
    </row>
    <row r="2" spans="1:17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80"/>
      <c r="N2" s="42"/>
      <c r="O2" s="42"/>
    </row>
    <row r="3" spans="1:17">
      <c r="A3" s="42" t="s">
        <v>187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80"/>
      <c r="N3" s="42"/>
      <c r="O3" s="42"/>
    </row>
    <row r="4" spans="1:17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80"/>
      <c r="N4" s="42"/>
      <c r="O4" s="42"/>
    </row>
    <row r="5" spans="1:17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80"/>
      <c r="N5" s="42"/>
      <c r="O5" s="42"/>
    </row>
    <row r="6" spans="1:17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89" t="s">
        <v>191</v>
      </c>
      <c r="K6" s="89"/>
      <c r="L6" s="1" t="s">
        <v>1</v>
      </c>
      <c r="M6" s="188" t="s">
        <v>2</v>
      </c>
      <c r="N6" s="2" t="s">
        <v>27</v>
      </c>
      <c r="O6" s="1" t="s">
        <v>29</v>
      </c>
    </row>
    <row r="7" spans="1:17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5" t="s">
        <v>121</v>
      </c>
      <c r="K7" s="5" t="s">
        <v>122</v>
      </c>
      <c r="L7" s="4" t="s">
        <v>4</v>
      </c>
      <c r="M7" s="189"/>
      <c r="N7" s="6" t="s">
        <v>28</v>
      </c>
      <c r="O7" s="7" t="s">
        <v>30</v>
      </c>
    </row>
    <row r="8" spans="1:17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81"/>
      <c r="N8" s="74"/>
      <c r="O8" s="43"/>
    </row>
    <row r="9" spans="1:17">
      <c r="A9" s="78"/>
      <c r="B9" s="79"/>
      <c r="C9" s="43"/>
      <c r="D9" s="43"/>
      <c r="E9" s="43"/>
      <c r="F9" s="43"/>
      <c r="G9" s="43"/>
      <c r="H9" s="43"/>
      <c r="I9" s="43"/>
      <c r="J9" s="43"/>
      <c r="K9" s="43"/>
      <c r="L9" s="43"/>
      <c r="M9" s="81"/>
      <c r="N9" s="74"/>
      <c r="O9" s="43"/>
      <c r="Q9" s="58"/>
    </row>
    <row r="10" spans="1:17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20"/>
      <c r="K10" s="20"/>
      <c r="L10" s="33">
        <f t="shared" ref="L10:L17" si="0">C10+D10-E10+F10-G10+J10-K10</f>
        <v>656637.59</v>
      </c>
      <c r="M10" s="49">
        <v>0</v>
      </c>
      <c r="N10" s="74">
        <f t="shared" ref="N10:N15" si="1">L10-M10+K10</f>
        <v>656637.59</v>
      </c>
      <c r="O10" s="57">
        <f>M10/M18</f>
        <v>0</v>
      </c>
      <c r="Q10" s="58"/>
    </row>
    <row r="11" spans="1:17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18"/>
      <c r="K11" s="18"/>
      <c r="L11" s="33">
        <f t="shared" si="0"/>
        <v>90000</v>
      </c>
      <c r="M11" s="49">
        <f>6885+7250+5010+5735+2005+6610+400+7470+800+3895+935+2335+600+2438+805+2809+1200+1914+200+1508+250+200+992+2750</f>
        <v>64996</v>
      </c>
      <c r="N11" s="72">
        <f t="shared" si="1"/>
        <v>25004</v>
      </c>
      <c r="O11" s="57">
        <f>M11/M18</f>
        <v>1.663777863364365E-2</v>
      </c>
      <c r="Q11" s="58"/>
    </row>
    <row r="12" spans="1:17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18"/>
      <c r="K12" s="18"/>
      <c r="L12" s="33">
        <f t="shared" si="0"/>
        <v>4000</v>
      </c>
      <c r="M12" s="49">
        <f>154.29+74.21+47.84+63.83+246.6+43.51+44.38+83.46+31.93+32.43+34.29</f>
        <v>856.76999999999987</v>
      </c>
      <c r="N12" s="72">
        <f t="shared" si="1"/>
        <v>3143.23</v>
      </c>
      <c r="O12" s="57">
        <f>M12/M18</f>
        <v>2.1931733645065647E-4</v>
      </c>
      <c r="Q12" s="58"/>
    </row>
    <row r="13" spans="1:17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18"/>
      <c r="K13" s="18"/>
      <c r="L13" s="33">
        <f t="shared" si="0"/>
        <v>2345924.88</v>
      </c>
      <c r="M13" s="49">
        <f>195493.74+40518.88+404398.5+199964.08+198363.1+3864.56+199964.08+228755.24+228755.24+199964.08+199964.08+344720.39</f>
        <v>2444725.9700000002</v>
      </c>
      <c r="N13" s="72">
        <f t="shared" si="1"/>
        <v>-98801.090000000317</v>
      </c>
      <c r="O13" s="57">
        <f>M13/M18</f>
        <v>0.62580481120037768</v>
      </c>
      <c r="Q13" s="58"/>
    </row>
    <row r="14" spans="1:17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18"/>
      <c r="K14" s="18"/>
      <c r="L14" s="33">
        <f t="shared" si="0"/>
        <v>4496358.8600000003</v>
      </c>
      <c r="M14" s="49">
        <v>0</v>
      </c>
      <c r="N14" s="72">
        <f t="shared" si="1"/>
        <v>4496358.8600000003</v>
      </c>
      <c r="O14" s="57">
        <f>M14/M18</f>
        <v>0</v>
      </c>
      <c r="Q14" s="58"/>
    </row>
    <row r="15" spans="1:17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18"/>
      <c r="K15" s="18"/>
      <c r="L15" s="33">
        <f t="shared" si="0"/>
        <v>2969280.92</v>
      </c>
      <c r="M15" s="49">
        <f>174488.09+436428.77+714931.38+46144.8+35496.86+19055.4+27315.53+13360.95+17442.43+4360-113071.83</f>
        <v>1375952.38</v>
      </c>
      <c r="N15" s="74">
        <f t="shared" si="1"/>
        <v>1593328.54</v>
      </c>
      <c r="O15" s="57">
        <v>0</v>
      </c>
      <c r="Q15" s="58"/>
    </row>
    <row r="16" spans="1:17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18"/>
      <c r="K16" s="18"/>
      <c r="L16" s="33">
        <f>C16+D16-E16+F16-G16+J16-K16</f>
        <v>15000</v>
      </c>
      <c r="M16" s="49">
        <v>20000</v>
      </c>
      <c r="N16" s="74">
        <f>L16-M16+K16</f>
        <v>-5000</v>
      </c>
      <c r="O16" s="57">
        <v>0</v>
      </c>
      <c r="Q16" s="58"/>
    </row>
    <row r="17" spans="1:17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52"/>
      <c r="K17" s="52"/>
      <c r="L17" s="33">
        <f t="shared" si="0"/>
        <v>0</v>
      </c>
      <c r="M17" s="49">
        <v>0</v>
      </c>
      <c r="N17" s="75">
        <f>-M17+K17</f>
        <v>0</v>
      </c>
      <c r="O17" s="61">
        <f>M17/M18</f>
        <v>0</v>
      </c>
      <c r="Q17" s="58"/>
    </row>
    <row r="18" spans="1:17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3"/>
      <c r="K18" s="93">
        <f>SUM(K10:K17)</f>
        <v>0</v>
      </c>
      <c r="L18" s="95">
        <f>ROUND((SUM(L10:L17)),2)</f>
        <v>10577202.25</v>
      </c>
      <c r="M18" s="95">
        <f>ROUND((SUM(M10:M17)),2)</f>
        <v>3906531.12</v>
      </c>
      <c r="N18" s="95">
        <f>ROUND((SUM(N10:N17)),2)</f>
        <v>6670671.1299999999</v>
      </c>
      <c r="O18" s="96">
        <f>SUM(O17:O17)</f>
        <v>0</v>
      </c>
      <c r="Q18" s="58"/>
    </row>
    <row r="19" spans="1:17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43"/>
      <c r="L19" s="43"/>
      <c r="M19" s="82"/>
      <c r="N19" s="43"/>
      <c r="O19" s="43"/>
      <c r="Q19" s="58"/>
    </row>
    <row r="20" spans="1:17">
      <c r="A20" s="78" t="s">
        <v>5</v>
      </c>
      <c r="B20" s="79" t="s">
        <v>102</v>
      </c>
      <c r="C20" s="43"/>
      <c r="D20" s="152"/>
      <c r="E20" s="152"/>
      <c r="F20" s="152"/>
      <c r="G20" s="152"/>
      <c r="H20" s="152"/>
      <c r="I20" s="152"/>
      <c r="J20" s="152"/>
      <c r="K20" s="152"/>
      <c r="L20" s="43"/>
      <c r="M20" s="82"/>
      <c r="N20" s="43"/>
      <c r="O20" s="43"/>
      <c r="Q20" s="58"/>
    </row>
    <row r="21" spans="1:17">
      <c r="A21" s="23">
        <v>0</v>
      </c>
      <c r="B21" s="23" t="s">
        <v>9</v>
      </c>
      <c r="C21" s="33"/>
      <c r="D21" s="152"/>
      <c r="E21" s="152"/>
      <c r="F21" s="152"/>
      <c r="G21" s="152"/>
      <c r="H21" s="152"/>
      <c r="I21" s="152"/>
      <c r="J21" s="152"/>
      <c r="K21" s="152"/>
      <c r="L21" s="33"/>
      <c r="M21" s="81"/>
      <c r="N21" s="49"/>
      <c r="O21" s="53"/>
      <c r="Q21" s="58"/>
    </row>
    <row r="22" spans="1:17">
      <c r="A22" s="19" t="s">
        <v>13</v>
      </c>
      <c r="B22" s="20" t="s">
        <v>79</v>
      </c>
      <c r="C22" s="33">
        <v>669886</v>
      </c>
      <c r="D22" s="152"/>
      <c r="E22" s="152"/>
      <c r="F22" s="152"/>
      <c r="G22" s="152"/>
      <c r="H22" s="152">
        <v>7500</v>
      </c>
      <c r="I22" s="152"/>
      <c r="J22" s="152">
        <v>5000</v>
      </c>
      <c r="K22" s="152"/>
      <c r="L22" s="33">
        <f t="shared" ref="L22:L33" si="2">C22+D22-E22+F22-G22+H22-I22+J22-K22</f>
        <v>682386</v>
      </c>
      <c r="M22" s="49">
        <v>596633.56000000006</v>
      </c>
      <c r="N22" s="49">
        <f>L22-M22</f>
        <v>85752.439999999944</v>
      </c>
      <c r="O22" s="53">
        <f t="shared" ref="O22:O33" si="3">M22/$M$114</f>
        <v>0.14919701188448148</v>
      </c>
      <c r="P22" s="87"/>
      <c r="Q22" s="58"/>
    </row>
    <row r="23" spans="1:17">
      <c r="A23" s="19" t="s">
        <v>31</v>
      </c>
      <c r="B23" s="20" t="s">
        <v>32</v>
      </c>
      <c r="C23" s="33">
        <v>4500</v>
      </c>
      <c r="D23" s="152"/>
      <c r="E23" s="152"/>
      <c r="F23" s="152"/>
      <c r="G23" s="152"/>
      <c r="H23" s="152"/>
      <c r="I23" s="152"/>
      <c r="J23" s="152"/>
      <c r="K23" s="152"/>
      <c r="L23" s="33">
        <f t="shared" si="2"/>
        <v>4500</v>
      </c>
      <c r="M23" s="49">
        <v>4125</v>
      </c>
      <c r="N23" s="49">
        <f t="shared" ref="N23:N69" si="4">L23-M23</f>
        <v>375</v>
      </c>
      <c r="O23" s="53">
        <f t="shared" si="3"/>
        <v>1.0315170236543283E-3</v>
      </c>
      <c r="P23" s="87"/>
      <c r="Q23" s="58"/>
    </row>
    <row r="24" spans="1:17">
      <c r="A24" s="19" t="s">
        <v>14</v>
      </c>
      <c r="B24" s="20" t="s">
        <v>38</v>
      </c>
      <c r="C24" s="33">
        <v>112250</v>
      </c>
      <c r="D24" s="152"/>
      <c r="E24" s="152"/>
      <c r="F24" s="152"/>
      <c r="G24" s="152"/>
      <c r="H24" s="152">
        <v>1150</v>
      </c>
      <c r="I24" s="152"/>
      <c r="J24" s="152">
        <v>1000</v>
      </c>
      <c r="K24" s="152"/>
      <c r="L24" s="33">
        <f t="shared" si="2"/>
        <v>114400</v>
      </c>
      <c r="M24" s="49">
        <v>88766.67</v>
      </c>
      <c r="N24" s="49">
        <f t="shared" si="4"/>
        <v>25633.33</v>
      </c>
      <c r="O24" s="53">
        <f t="shared" si="3"/>
        <v>2.2197413633480229E-2</v>
      </c>
      <c r="P24" s="87"/>
      <c r="Q24" s="58"/>
    </row>
    <row r="25" spans="1:17" hidden="1">
      <c r="A25" s="19" t="s">
        <v>114</v>
      </c>
      <c r="B25" s="20" t="s">
        <v>115</v>
      </c>
      <c r="C25" s="33"/>
      <c r="D25" s="152"/>
      <c r="E25" s="152"/>
      <c r="F25" s="152"/>
      <c r="G25" s="152"/>
      <c r="H25" s="152"/>
      <c r="I25" s="152"/>
      <c r="J25" s="152"/>
      <c r="K25" s="152"/>
      <c r="L25" s="33">
        <f t="shared" si="2"/>
        <v>0</v>
      </c>
      <c r="M25" s="49"/>
      <c r="N25" s="49">
        <f t="shared" si="4"/>
        <v>0</v>
      </c>
      <c r="O25" s="53">
        <f t="shared" si="3"/>
        <v>0</v>
      </c>
      <c r="P25" s="87"/>
      <c r="Q25" s="58"/>
    </row>
    <row r="26" spans="1:17">
      <c r="A26" s="19" t="s">
        <v>116</v>
      </c>
      <c r="B26" s="20" t="s">
        <v>117</v>
      </c>
      <c r="C26" s="33">
        <v>0</v>
      </c>
      <c r="D26" s="152"/>
      <c r="E26" s="152"/>
      <c r="F26" s="152"/>
      <c r="G26" s="152"/>
      <c r="H26" s="152"/>
      <c r="I26" s="152"/>
      <c r="J26" s="152"/>
      <c r="K26" s="152"/>
      <c r="L26" s="33">
        <f t="shared" si="2"/>
        <v>0</v>
      </c>
      <c r="M26" s="49">
        <v>0</v>
      </c>
      <c r="N26" s="49">
        <f t="shared" si="4"/>
        <v>0</v>
      </c>
      <c r="O26" s="53">
        <f t="shared" si="3"/>
        <v>0</v>
      </c>
      <c r="P26" s="87"/>
      <c r="Q26" s="58"/>
    </row>
    <row r="27" spans="1:17">
      <c r="A27" s="19" t="s">
        <v>88</v>
      </c>
      <c r="B27" s="20" t="s">
        <v>89</v>
      </c>
      <c r="C27" s="33">
        <v>15400</v>
      </c>
      <c r="D27" s="152"/>
      <c r="E27" s="152"/>
      <c r="F27" s="152"/>
      <c r="G27" s="152"/>
      <c r="H27" s="152"/>
      <c r="I27" s="152"/>
      <c r="J27" s="152"/>
      <c r="K27" s="152"/>
      <c r="L27" s="33">
        <f t="shared" si="2"/>
        <v>15400</v>
      </c>
      <c r="M27" s="49">
        <v>5600</v>
      </c>
      <c r="N27" s="49">
        <f t="shared" si="4"/>
        <v>9800</v>
      </c>
      <c r="O27" s="53">
        <f t="shared" si="3"/>
        <v>1.4003625048398154E-3</v>
      </c>
      <c r="P27" s="87"/>
      <c r="Q27" s="58"/>
    </row>
    <row r="28" spans="1:17">
      <c r="A28" s="19" t="s">
        <v>20</v>
      </c>
      <c r="B28" s="20" t="s">
        <v>21</v>
      </c>
      <c r="C28" s="33">
        <v>31068.6</v>
      </c>
      <c r="D28" s="152"/>
      <c r="E28" s="152"/>
      <c r="F28" s="152"/>
      <c r="G28" s="152"/>
      <c r="H28" s="152"/>
      <c r="I28" s="152"/>
      <c r="J28" s="152">
        <v>5000</v>
      </c>
      <c r="K28" s="152"/>
      <c r="L28" s="33">
        <f t="shared" si="2"/>
        <v>36068.6</v>
      </c>
      <c r="M28" s="49">
        <v>35164.129999999997</v>
      </c>
      <c r="N28" s="49">
        <f t="shared" si="4"/>
        <v>904.47000000000116</v>
      </c>
      <c r="O28" s="53">
        <f t="shared" si="3"/>
        <v>8.793308779877303E-3</v>
      </c>
      <c r="P28" s="87"/>
      <c r="Q28" s="58"/>
    </row>
    <row r="29" spans="1:17">
      <c r="A29" s="19" t="s">
        <v>15</v>
      </c>
      <c r="B29" s="20" t="s">
        <v>110</v>
      </c>
      <c r="C29" s="33">
        <v>94901</v>
      </c>
      <c r="D29" s="152"/>
      <c r="E29" s="152"/>
      <c r="F29" s="152"/>
      <c r="G29" s="152"/>
      <c r="H29" s="152"/>
      <c r="I29" s="152"/>
      <c r="J29" s="152"/>
      <c r="K29" s="152"/>
      <c r="L29" s="33">
        <f t="shared" si="2"/>
        <v>94901</v>
      </c>
      <c r="M29" s="49">
        <v>60729.66</v>
      </c>
      <c r="N29" s="49">
        <f t="shared" si="4"/>
        <v>34171.339999999997</v>
      </c>
      <c r="O29" s="53">
        <f t="shared" si="3"/>
        <v>1.5186346213512562E-2</v>
      </c>
      <c r="P29" s="87"/>
      <c r="Q29" s="58"/>
    </row>
    <row r="30" spans="1:17">
      <c r="A30" s="19" t="s">
        <v>16</v>
      </c>
      <c r="B30" s="20" t="s">
        <v>111</v>
      </c>
      <c r="C30" s="33">
        <v>8132.05</v>
      </c>
      <c r="D30" s="152"/>
      <c r="E30" s="152"/>
      <c r="F30" s="152"/>
      <c r="G30" s="152"/>
      <c r="H30" s="152"/>
      <c r="I30" s="152"/>
      <c r="J30" s="152"/>
      <c r="K30" s="152"/>
      <c r="L30" s="33">
        <f t="shared" si="2"/>
        <v>8132.05</v>
      </c>
      <c r="M30" s="49">
        <v>5691.64</v>
      </c>
      <c r="N30" s="49">
        <f t="shared" si="4"/>
        <v>2440.41</v>
      </c>
      <c r="O30" s="53">
        <f t="shared" si="3"/>
        <v>1.4232784369725871E-3</v>
      </c>
      <c r="P30" s="87"/>
      <c r="Q30" s="58"/>
    </row>
    <row r="31" spans="1:17">
      <c r="A31" s="19" t="s">
        <v>17</v>
      </c>
      <c r="B31" s="21" t="s">
        <v>77</v>
      </c>
      <c r="C31" s="33">
        <v>59303</v>
      </c>
      <c r="D31" s="152"/>
      <c r="E31" s="152"/>
      <c r="F31" s="152"/>
      <c r="G31" s="152"/>
      <c r="H31" s="152">
        <v>730</v>
      </c>
      <c r="I31" s="152"/>
      <c r="J31" s="152"/>
      <c r="K31" s="152"/>
      <c r="L31" s="33">
        <f t="shared" si="2"/>
        <v>60033</v>
      </c>
      <c r="M31" s="49">
        <v>0</v>
      </c>
      <c r="N31" s="49">
        <f t="shared" si="4"/>
        <v>60033</v>
      </c>
      <c r="O31" s="53">
        <f t="shared" si="3"/>
        <v>0</v>
      </c>
      <c r="P31" s="87"/>
      <c r="Q31" s="58"/>
    </row>
    <row r="32" spans="1:17">
      <c r="A32" s="19" t="s">
        <v>18</v>
      </c>
      <c r="B32" s="20" t="s">
        <v>80</v>
      </c>
      <c r="C32" s="33">
        <v>59303</v>
      </c>
      <c r="D32" s="152"/>
      <c r="E32" s="152"/>
      <c r="F32" s="152"/>
      <c r="G32" s="152"/>
      <c r="H32" s="152"/>
      <c r="I32" s="152"/>
      <c r="J32" s="152"/>
      <c r="K32" s="152"/>
      <c r="L32" s="33">
        <f t="shared" si="2"/>
        <v>59303</v>
      </c>
      <c r="M32" s="49">
        <v>51031.86</v>
      </c>
      <c r="N32" s="49">
        <f t="shared" si="4"/>
        <v>8271.14</v>
      </c>
      <c r="O32" s="53">
        <f t="shared" si="3"/>
        <v>1.2761268445756211E-2</v>
      </c>
      <c r="P32" s="87"/>
      <c r="Q32" s="58"/>
    </row>
    <row r="33" spans="1:17">
      <c r="A33" s="19" t="s">
        <v>19</v>
      </c>
      <c r="B33" s="20" t="s">
        <v>78</v>
      </c>
      <c r="C33" s="33">
        <v>4000</v>
      </c>
      <c r="D33" s="152"/>
      <c r="E33" s="152"/>
      <c r="F33" s="152"/>
      <c r="G33" s="152"/>
      <c r="H33" s="152">
        <v>120</v>
      </c>
      <c r="I33" s="152"/>
      <c r="J33" s="152"/>
      <c r="K33" s="152"/>
      <c r="L33" s="33">
        <f t="shared" si="2"/>
        <v>4120</v>
      </c>
      <c r="M33" s="49">
        <v>0</v>
      </c>
      <c r="N33" s="49">
        <f t="shared" si="4"/>
        <v>4120</v>
      </c>
      <c r="O33" s="53">
        <f t="shared" si="3"/>
        <v>0</v>
      </c>
      <c r="P33" s="87"/>
      <c r="Q33" s="58"/>
    </row>
    <row r="34" spans="1:17">
      <c r="A34" s="19"/>
      <c r="B34" s="20"/>
      <c r="C34" s="33"/>
      <c r="D34" s="152"/>
      <c r="E34" s="152"/>
      <c r="F34" s="152"/>
      <c r="G34" s="152"/>
      <c r="H34" s="152"/>
      <c r="I34" s="152"/>
      <c r="J34" s="152"/>
      <c r="K34" s="152"/>
      <c r="L34" s="33"/>
      <c r="M34" s="81"/>
      <c r="N34" s="49"/>
      <c r="O34" s="53"/>
      <c r="P34" s="87"/>
      <c r="Q34" s="58"/>
    </row>
    <row r="35" spans="1:17">
      <c r="A35" s="23">
        <v>1</v>
      </c>
      <c r="B35" s="23" t="s">
        <v>10</v>
      </c>
      <c r="C35" s="33"/>
      <c r="D35" s="152"/>
      <c r="E35" s="152"/>
      <c r="F35" s="152"/>
      <c r="G35" s="152"/>
      <c r="H35" s="152"/>
      <c r="I35" s="152"/>
      <c r="J35" s="152"/>
      <c r="K35" s="152"/>
      <c r="L35" s="33"/>
      <c r="M35" s="83"/>
      <c r="N35" s="49"/>
      <c r="O35" s="53"/>
      <c r="P35" s="87"/>
      <c r="Q35" s="58"/>
    </row>
    <row r="36" spans="1:17">
      <c r="A36" s="24">
        <v>111</v>
      </c>
      <c r="B36" s="20" t="s">
        <v>39</v>
      </c>
      <c r="C36" s="33">
        <v>13125</v>
      </c>
      <c r="D36" s="152"/>
      <c r="E36" s="152"/>
      <c r="F36" s="152"/>
      <c r="G36" s="152"/>
      <c r="H36" s="152"/>
      <c r="I36" s="152"/>
      <c r="J36" s="152"/>
      <c r="K36" s="152"/>
      <c r="L36" s="33">
        <f t="shared" ref="L36:L69" si="5">C36+D36-E36+F36-G36+H36-I36+J36-K36</f>
        <v>13125</v>
      </c>
      <c r="M36" s="49">
        <v>7748.22</v>
      </c>
      <c r="N36" s="49">
        <f t="shared" si="4"/>
        <v>5376.78</v>
      </c>
      <c r="O36" s="53">
        <f t="shared" ref="O36:O69" si="6">M36/$M$114</f>
        <v>1.937556565580349E-3</v>
      </c>
      <c r="P36" s="87"/>
      <c r="Q36" s="58"/>
    </row>
    <row r="37" spans="1:17">
      <c r="A37" s="24">
        <v>113</v>
      </c>
      <c r="B37" s="20" t="s">
        <v>48</v>
      </c>
      <c r="C37" s="33">
        <v>24780</v>
      </c>
      <c r="D37" s="152"/>
      <c r="E37" s="152"/>
      <c r="F37" s="152"/>
      <c r="G37" s="152"/>
      <c r="H37" s="152"/>
      <c r="I37" s="152"/>
      <c r="J37" s="152"/>
      <c r="K37" s="152"/>
      <c r="L37" s="33">
        <f t="shared" si="5"/>
        <v>24780</v>
      </c>
      <c r="M37" s="49">
        <v>18693</v>
      </c>
      <c r="N37" s="49">
        <f t="shared" si="4"/>
        <v>6087</v>
      </c>
      <c r="O37" s="53">
        <f t="shared" si="6"/>
        <v>4.6744600541019053E-3</v>
      </c>
      <c r="P37" s="87"/>
      <c r="Q37" s="58"/>
    </row>
    <row r="38" spans="1:17">
      <c r="A38" s="24">
        <v>114</v>
      </c>
      <c r="B38" s="20" t="s">
        <v>109</v>
      </c>
      <c r="C38" s="33">
        <v>2500</v>
      </c>
      <c r="D38" s="152"/>
      <c r="E38" s="152"/>
      <c r="F38" s="152"/>
      <c r="G38" s="152"/>
      <c r="H38" s="152"/>
      <c r="I38" s="152"/>
      <c r="J38" s="152"/>
      <c r="K38" s="152"/>
      <c r="L38" s="33">
        <f t="shared" si="5"/>
        <v>2500</v>
      </c>
      <c r="M38" s="49">
        <v>596.51</v>
      </c>
      <c r="N38" s="49">
        <f t="shared" si="4"/>
        <v>1903.49</v>
      </c>
      <c r="O38" s="53">
        <f t="shared" si="6"/>
        <v>1.4916611388607112E-4</v>
      </c>
      <c r="P38" s="87"/>
      <c r="Q38" s="58"/>
    </row>
    <row r="39" spans="1:17">
      <c r="A39" s="24">
        <v>121</v>
      </c>
      <c r="B39" s="20" t="s">
        <v>155</v>
      </c>
      <c r="C39" s="33">
        <v>12250</v>
      </c>
      <c r="D39" s="152"/>
      <c r="E39" s="152"/>
      <c r="F39" s="152"/>
      <c r="G39" s="152"/>
      <c r="H39" s="152"/>
      <c r="I39" s="152"/>
      <c r="J39" s="152"/>
      <c r="K39" s="152"/>
      <c r="L39" s="33">
        <f t="shared" si="5"/>
        <v>12250</v>
      </c>
      <c r="M39" s="49">
        <v>4291</v>
      </c>
      <c r="N39" s="49">
        <f t="shared" si="4"/>
        <v>7959</v>
      </c>
      <c r="O39" s="53">
        <f t="shared" si="6"/>
        <v>1.0730277693335084E-3</v>
      </c>
      <c r="P39" s="87"/>
      <c r="Q39" s="58"/>
    </row>
    <row r="40" spans="1:17">
      <c r="A40" s="24">
        <v>122</v>
      </c>
      <c r="B40" s="20" t="s">
        <v>81</v>
      </c>
      <c r="C40" s="33">
        <v>29000</v>
      </c>
      <c r="D40" s="152"/>
      <c r="E40" s="152"/>
      <c r="F40" s="152"/>
      <c r="G40" s="152"/>
      <c r="H40" s="152"/>
      <c r="I40" s="152"/>
      <c r="J40" s="152"/>
      <c r="K40" s="152"/>
      <c r="L40" s="33">
        <f t="shared" si="5"/>
        <v>29000</v>
      </c>
      <c r="M40" s="49">
        <v>21349.5</v>
      </c>
      <c r="N40" s="49">
        <f t="shared" si="4"/>
        <v>7650.5</v>
      </c>
      <c r="O40" s="53">
        <f t="shared" si="6"/>
        <v>5.3387570173352925E-3</v>
      </c>
      <c r="P40" s="87"/>
      <c r="Q40" s="58"/>
    </row>
    <row r="41" spans="1:17">
      <c r="A41" s="24">
        <v>131</v>
      </c>
      <c r="B41" s="20" t="s">
        <v>51</v>
      </c>
      <c r="C41" s="33">
        <v>1251963.1500000001</v>
      </c>
      <c r="D41" s="155">
        <v>250000</v>
      </c>
      <c r="E41" s="152"/>
      <c r="F41" s="152"/>
      <c r="G41" s="152">
        <v>60000</v>
      </c>
      <c r="H41" s="152"/>
      <c r="I41" s="152"/>
      <c r="J41" s="152"/>
      <c r="K41" s="152">
        <v>61850</v>
      </c>
      <c r="L41" s="33">
        <f t="shared" si="5"/>
        <v>1380113.1500000001</v>
      </c>
      <c r="M41" s="49">
        <v>1309859.0599999998</v>
      </c>
      <c r="N41" s="49">
        <f t="shared" si="4"/>
        <v>70254.090000000317</v>
      </c>
      <c r="O41" s="53">
        <f t="shared" si="6"/>
        <v>0.32754955611584385</v>
      </c>
      <c r="P41" s="87"/>
      <c r="Q41" s="58"/>
    </row>
    <row r="42" spans="1:17">
      <c r="A42" s="24">
        <v>133</v>
      </c>
      <c r="B42" s="20" t="s">
        <v>52</v>
      </c>
      <c r="C42" s="33">
        <v>1500</v>
      </c>
      <c r="D42" s="152"/>
      <c r="E42" s="152"/>
      <c r="F42" s="152"/>
      <c r="G42" s="152"/>
      <c r="H42" s="152"/>
      <c r="I42" s="152"/>
      <c r="J42" s="152"/>
      <c r="K42" s="152"/>
      <c r="L42" s="33">
        <f t="shared" si="5"/>
        <v>1500</v>
      </c>
      <c r="M42" s="49">
        <v>0</v>
      </c>
      <c r="N42" s="49">
        <f t="shared" si="4"/>
        <v>1500</v>
      </c>
      <c r="O42" s="53">
        <f t="shared" si="6"/>
        <v>0</v>
      </c>
      <c r="P42" s="87"/>
      <c r="Q42" s="58"/>
    </row>
    <row r="43" spans="1:17" hidden="1">
      <c r="A43" s="24">
        <v>134</v>
      </c>
      <c r="B43" s="20" t="s">
        <v>82</v>
      </c>
      <c r="C43" s="33">
        <v>0</v>
      </c>
      <c r="D43" s="152"/>
      <c r="E43" s="152"/>
      <c r="F43" s="152"/>
      <c r="G43" s="152"/>
      <c r="H43" s="152"/>
      <c r="I43" s="152"/>
      <c r="J43" s="152"/>
      <c r="K43" s="152"/>
      <c r="L43" s="33">
        <f t="shared" si="5"/>
        <v>0</v>
      </c>
      <c r="M43" s="49">
        <v>0</v>
      </c>
      <c r="N43" s="49">
        <f t="shared" si="4"/>
        <v>0</v>
      </c>
      <c r="O43" s="53">
        <f t="shared" si="6"/>
        <v>0</v>
      </c>
      <c r="P43" s="87"/>
      <c r="Q43" s="58"/>
    </row>
    <row r="44" spans="1:17">
      <c r="A44" s="24">
        <v>135</v>
      </c>
      <c r="B44" s="20" t="s">
        <v>90</v>
      </c>
      <c r="C44" s="33">
        <v>100840.04999999999</v>
      </c>
      <c r="D44" s="152">
        <v>15000</v>
      </c>
      <c r="E44" s="152"/>
      <c r="F44" s="152">
        <v>60000</v>
      </c>
      <c r="G44" s="152"/>
      <c r="H44" s="152"/>
      <c r="I44" s="152"/>
      <c r="J44" s="152"/>
      <c r="K44" s="152"/>
      <c r="L44" s="33">
        <f t="shared" si="5"/>
        <v>175840.05</v>
      </c>
      <c r="M44" s="49">
        <v>166069.52000000002</v>
      </c>
      <c r="N44" s="49">
        <f t="shared" si="4"/>
        <v>9770.5299999999697</v>
      </c>
      <c r="O44" s="53">
        <f t="shared" si="6"/>
        <v>4.15281301794189E-2</v>
      </c>
      <c r="P44" s="87"/>
      <c r="Q44" s="58"/>
    </row>
    <row r="45" spans="1:17">
      <c r="A45" s="24">
        <v>141</v>
      </c>
      <c r="B45" s="20" t="s">
        <v>71</v>
      </c>
      <c r="C45" s="33">
        <v>846850</v>
      </c>
      <c r="D45" s="152"/>
      <c r="E45" s="155">
        <v>210000</v>
      </c>
      <c r="F45" s="152">
        <v>65000</v>
      </c>
      <c r="G45" s="152"/>
      <c r="H45" s="152"/>
      <c r="I45" s="155">
        <v>136000</v>
      </c>
      <c r="J45" s="152"/>
      <c r="K45" s="152">
        <v>42500</v>
      </c>
      <c r="L45" s="33">
        <f t="shared" si="5"/>
        <v>523350</v>
      </c>
      <c r="M45" s="49">
        <v>464604.05</v>
      </c>
      <c r="N45" s="49">
        <f t="shared" si="4"/>
        <v>58745.950000000012</v>
      </c>
      <c r="O45" s="53">
        <f t="shared" si="6"/>
        <v>0.11618108771727192</v>
      </c>
      <c r="P45" s="87"/>
      <c r="Q45" s="58"/>
    </row>
    <row r="46" spans="1:17">
      <c r="A46" s="24">
        <v>142</v>
      </c>
      <c r="B46" s="20" t="s">
        <v>22</v>
      </c>
      <c r="C46" s="33">
        <v>16000</v>
      </c>
      <c r="D46" s="152"/>
      <c r="E46" s="152"/>
      <c r="F46" s="152"/>
      <c r="G46" s="152"/>
      <c r="H46" s="152"/>
      <c r="I46" s="152"/>
      <c r="J46" s="152"/>
      <c r="K46" s="152"/>
      <c r="L46" s="33">
        <f t="shared" si="5"/>
        <v>16000</v>
      </c>
      <c r="M46" s="49">
        <v>9000</v>
      </c>
      <c r="N46" s="49">
        <f t="shared" si="4"/>
        <v>7000</v>
      </c>
      <c r="O46" s="53">
        <f t="shared" si="6"/>
        <v>2.2505825970639891E-3</v>
      </c>
      <c r="P46" s="87"/>
      <c r="Q46" s="58"/>
    </row>
    <row r="47" spans="1:17">
      <c r="A47" s="24">
        <v>143</v>
      </c>
      <c r="B47" s="20" t="s">
        <v>112</v>
      </c>
      <c r="C47" s="33">
        <v>27000</v>
      </c>
      <c r="D47" s="152"/>
      <c r="E47" s="152"/>
      <c r="F47" s="152">
        <v>18000</v>
      </c>
      <c r="G47" s="152"/>
      <c r="H47" s="152"/>
      <c r="I47" s="152"/>
      <c r="J47" s="152"/>
      <c r="K47" s="152"/>
      <c r="L47" s="33">
        <f t="shared" si="5"/>
        <v>45000</v>
      </c>
      <c r="M47" s="49">
        <v>31093.07</v>
      </c>
      <c r="N47" s="49">
        <f t="shared" si="4"/>
        <v>13906.93</v>
      </c>
      <c r="O47" s="53">
        <f t="shared" si="6"/>
        <v>7.7752802479213777E-3</v>
      </c>
      <c r="P47" s="87"/>
      <c r="Q47" s="58"/>
    </row>
    <row r="48" spans="1:17">
      <c r="A48" s="24">
        <v>151</v>
      </c>
      <c r="B48" s="20" t="s">
        <v>118</v>
      </c>
      <c r="C48" s="33">
        <v>70560</v>
      </c>
      <c r="D48" s="152"/>
      <c r="E48" s="152"/>
      <c r="F48" s="152"/>
      <c r="G48" s="152"/>
      <c r="H48" s="152"/>
      <c r="I48" s="152"/>
      <c r="J48" s="152"/>
      <c r="K48" s="152"/>
      <c r="L48" s="33">
        <f t="shared" si="5"/>
        <v>70560</v>
      </c>
      <c r="M48" s="49">
        <v>64680</v>
      </c>
      <c r="N48" s="49">
        <f t="shared" si="4"/>
        <v>5880</v>
      </c>
      <c r="O48" s="53">
        <f t="shared" si="6"/>
        <v>1.6174186930899868E-2</v>
      </c>
      <c r="P48" s="87"/>
      <c r="Q48" s="58"/>
    </row>
    <row r="49" spans="1:17" hidden="1">
      <c r="A49" s="24">
        <v>155</v>
      </c>
      <c r="B49" s="20" t="s">
        <v>33</v>
      </c>
      <c r="C49" s="33">
        <v>0</v>
      </c>
      <c r="D49" s="152"/>
      <c r="E49" s="152"/>
      <c r="F49" s="152"/>
      <c r="G49" s="152"/>
      <c r="H49" s="152"/>
      <c r="I49" s="152"/>
      <c r="J49" s="152"/>
      <c r="K49" s="152"/>
      <c r="L49" s="33">
        <f t="shared" si="5"/>
        <v>0</v>
      </c>
      <c r="M49" s="49">
        <v>0</v>
      </c>
      <c r="N49" s="49">
        <f t="shared" si="4"/>
        <v>0</v>
      </c>
      <c r="O49" s="53">
        <f t="shared" si="6"/>
        <v>0</v>
      </c>
      <c r="P49" s="87"/>
      <c r="Q49" s="58"/>
    </row>
    <row r="50" spans="1:17">
      <c r="A50" s="24">
        <v>158</v>
      </c>
      <c r="B50" s="20" t="s">
        <v>91</v>
      </c>
      <c r="C50" s="33">
        <v>6550</v>
      </c>
      <c r="D50" s="152"/>
      <c r="E50" s="152"/>
      <c r="F50" s="152"/>
      <c r="G50" s="152"/>
      <c r="H50" s="152"/>
      <c r="I50" s="152"/>
      <c r="J50" s="152"/>
      <c r="K50" s="152"/>
      <c r="L50" s="33">
        <f t="shared" si="5"/>
        <v>6550</v>
      </c>
      <c r="M50" s="49">
        <v>1416</v>
      </c>
      <c r="N50" s="49">
        <f t="shared" si="4"/>
        <v>5134</v>
      </c>
      <c r="O50" s="53">
        <f t="shared" si="6"/>
        <v>3.5409166193806757E-4</v>
      </c>
      <c r="P50" s="87"/>
      <c r="Q50" s="58"/>
    </row>
    <row r="51" spans="1:17">
      <c r="A51" s="24">
        <v>162</v>
      </c>
      <c r="B51" s="20" t="s">
        <v>53</v>
      </c>
      <c r="C51" s="33">
        <v>2000</v>
      </c>
      <c r="D51" s="152"/>
      <c r="E51" s="152"/>
      <c r="F51" s="152"/>
      <c r="G51" s="152"/>
      <c r="H51" s="152"/>
      <c r="I51" s="152"/>
      <c r="J51" s="152"/>
      <c r="K51" s="152"/>
      <c r="L51" s="33">
        <f t="shared" si="5"/>
        <v>2000</v>
      </c>
      <c r="M51" s="49">
        <v>350</v>
      </c>
      <c r="N51" s="49">
        <f t="shared" si="4"/>
        <v>1650</v>
      </c>
      <c r="O51" s="53">
        <f t="shared" si="6"/>
        <v>8.7522656552488462E-5</v>
      </c>
      <c r="P51" s="87"/>
      <c r="Q51" s="58"/>
    </row>
    <row r="52" spans="1:17">
      <c r="A52" s="24">
        <v>164</v>
      </c>
      <c r="B52" s="20" t="s">
        <v>40</v>
      </c>
      <c r="C52" s="33">
        <v>20000</v>
      </c>
      <c r="D52" s="152"/>
      <c r="E52" s="152"/>
      <c r="F52" s="152"/>
      <c r="G52" s="152"/>
      <c r="H52" s="152"/>
      <c r="I52" s="152"/>
      <c r="J52" s="152"/>
      <c r="K52" s="152"/>
      <c r="L52" s="33">
        <f t="shared" si="5"/>
        <v>20000</v>
      </c>
      <c r="M52" s="49">
        <v>9950</v>
      </c>
      <c r="N52" s="49">
        <f t="shared" si="4"/>
        <v>10050</v>
      </c>
      <c r="O52" s="53">
        <f t="shared" si="6"/>
        <v>2.4881440934207432E-3</v>
      </c>
      <c r="P52" s="87"/>
      <c r="Q52" s="58"/>
    </row>
    <row r="53" spans="1:17">
      <c r="A53" s="24">
        <v>165</v>
      </c>
      <c r="B53" s="20" t="s">
        <v>92</v>
      </c>
      <c r="C53" s="33">
        <v>6900</v>
      </c>
      <c r="D53" s="152"/>
      <c r="E53" s="152"/>
      <c r="F53" s="152"/>
      <c r="G53" s="152"/>
      <c r="H53" s="152"/>
      <c r="I53" s="152"/>
      <c r="J53" s="152"/>
      <c r="K53" s="152"/>
      <c r="L53" s="33">
        <f t="shared" si="5"/>
        <v>6900</v>
      </c>
      <c r="M53" s="49">
        <v>2266.08</v>
      </c>
      <c r="N53" s="49">
        <f t="shared" si="4"/>
        <v>4633.92</v>
      </c>
      <c r="O53" s="53">
        <f t="shared" si="6"/>
        <v>5.6666669017275159E-4</v>
      </c>
      <c r="P53" s="87"/>
      <c r="Q53" s="58"/>
    </row>
    <row r="54" spans="1:17">
      <c r="A54" s="24">
        <v>168</v>
      </c>
      <c r="B54" s="20" t="s">
        <v>54</v>
      </c>
      <c r="C54" s="33">
        <v>3000</v>
      </c>
      <c r="D54" s="152"/>
      <c r="E54" s="152"/>
      <c r="F54" s="152"/>
      <c r="G54" s="152"/>
      <c r="H54" s="152"/>
      <c r="I54" s="152"/>
      <c r="J54" s="152"/>
      <c r="K54" s="152"/>
      <c r="L54" s="33">
        <f t="shared" si="5"/>
        <v>3000</v>
      </c>
      <c r="M54" s="49">
        <v>2535</v>
      </c>
      <c r="N54" s="49">
        <f t="shared" si="4"/>
        <v>465</v>
      </c>
      <c r="O54" s="53">
        <f t="shared" si="6"/>
        <v>6.339140981730236E-4</v>
      </c>
      <c r="P54" s="87"/>
      <c r="Q54" s="58"/>
    </row>
    <row r="55" spans="1:17">
      <c r="A55" s="24">
        <v>174</v>
      </c>
      <c r="B55" s="20" t="s">
        <v>41</v>
      </c>
      <c r="C55" s="33">
        <v>5000</v>
      </c>
      <c r="D55" s="152"/>
      <c r="E55" s="152"/>
      <c r="F55" s="152"/>
      <c r="G55" s="152"/>
      <c r="H55" s="152">
        <v>22500</v>
      </c>
      <c r="I55" s="152"/>
      <c r="J55" s="152"/>
      <c r="K55" s="152"/>
      <c r="L55" s="33">
        <f t="shared" si="5"/>
        <v>27500</v>
      </c>
      <c r="M55" s="49">
        <v>2947.37</v>
      </c>
      <c r="N55" s="49">
        <f t="shared" si="4"/>
        <v>24552.63</v>
      </c>
      <c r="O55" s="53">
        <f t="shared" si="6"/>
        <v>7.370332921231654E-4</v>
      </c>
      <c r="P55" s="87"/>
      <c r="Q55" s="58"/>
    </row>
    <row r="56" spans="1:17">
      <c r="A56" s="24">
        <v>181</v>
      </c>
      <c r="B56" s="20" t="s">
        <v>139</v>
      </c>
      <c r="C56" s="33">
        <v>158000</v>
      </c>
      <c r="D56" s="152"/>
      <c r="E56" s="152"/>
      <c r="F56" s="152"/>
      <c r="G56" s="152"/>
      <c r="H56" s="152">
        <v>5000</v>
      </c>
      <c r="I56" s="152"/>
      <c r="J56" s="152"/>
      <c r="K56" s="152"/>
      <c r="L56" s="33">
        <f t="shared" si="5"/>
        <v>163000</v>
      </c>
      <c r="M56" s="49">
        <v>0</v>
      </c>
      <c r="N56" s="49">
        <f t="shared" si="4"/>
        <v>163000</v>
      </c>
      <c r="O56" s="53">
        <f t="shared" si="6"/>
        <v>0</v>
      </c>
      <c r="P56" s="87"/>
      <c r="Q56" s="58"/>
    </row>
    <row r="57" spans="1:17" hidden="1">
      <c r="A57" s="24">
        <v>182</v>
      </c>
      <c r="B57" s="20" t="s">
        <v>56</v>
      </c>
      <c r="C57" s="33">
        <v>0</v>
      </c>
      <c r="D57" s="152"/>
      <c r="E57" s="152"/>
      <c r="F57" s="152"/>
      <c r="G57" s="152"/>
      <c r="H57" s="152"/>
      <c r="I57" s="152"/>
      <c r="J57" s="152"/>
      <c r="K57" s="152"/>
      <c r="L57" s="33">
        <f t="shared" si="5"/>
        <v>0</v>
      </c>
      <c r="M57" s="49">
        <v>0</v>
      </c>
      <c r="N57" s="49">
        <f t="shared" si="4"/>
        <v>0</v>
      </c>
      <c r="O57" s="53">
        <f t="shared" si="6"/>
        <v>0</v>
      </c>
      <c r="P57" s="87"/>
      <c r="Q57" s="58"/>
    </row>
    <row r="58" spans="1:17">
      <c r="A58" s="24">
        <v>183</v>
      </c>
      <c r="B58" s="20" t="s">
        <v>93</v>
      </c>
      <c r="C58" s="33">
        <v>85000</v>
      </c>
      <c r="D58" s="152"/>
      <c r="E58" s="152"/>
      <c r="F58" s="152"/>
      <c r="G58" s="152">
        <v>51000</v>
      </c>
      <c r="H58" s="152"/>
      <c r="I58" s="152"/>
      <c r="J58" s="152"/>
      <c r="K58" s="152"/>
      <c r="L58" s="33">
        <f t="shared" si="5"/>
        <v>34000</v>
      </c>
      <c r="M58" s="49">
        <v>14575</v>
      </c>
      <c r="N58" s="49">
        <f t="shared" si="4"/>
        <v>19425</v>
      </c>
      <c r="O58" s="53">
        <f t="shared" si="6"/>
        <v>3.6446934835786264E-3</v>
      </c>
      <c r="P58" s="87"/>
      <c r="Q58" s="58"/>
    </row>
    <row r="59" spans="1:17">
      <c r="A59" s="24">
        <v>184</v>
      </c>
      <c r="B59" s="20" t="s">
        <v>94</v>
      </c>
      <c r="C59" s="33">
        <v>50000</v>
      </c>
      <c r="D59" s="152"/>
      <c r="E59" s="152"/>
      <c r="F59" s="152"/>
      <c r="G59" s="152"/>
      <c r="H59" s="152"/>
      <c r="I59" s="152"/>
      <c r="J59" s="152"/>
      <c r="K59" s="152"/>
      <c r="L59" s="33">
        <f t="shared" si="5"/>
        <v>50000</v>
      </c>
      <c r="M59" s="49">
        <v>44000</v>
      </c>
      <c r="N59" s="49">
        <f t="shared" si="4"/>
        <v>6000</v>
      </c>
      <c r="O59" s="53">
        <f t="shared" si="6"/>
        <v>1.1002848252312835E-2</v>
      </c>
      <c r="P59" s="87"/>
      <c r="Q59" s="58"/>
    </row>
    <row r="60" spans="1:17">
      <c r="A60" s="24">
        <v>185</v>
      </c>
      <c r="B60" s="20" t="s">
        <v>95</v>
      </c>
      <c r="C60" s="33">
        <v>15000</v>
      </c>
      <c r="D60" s="152"/>
      <c r="E60" s="152"/>
      <c r="F60" s="152"/>
      <c r="G60" s="152">
        <v>8500</v>
      </c>
      <c r="H60" s="152"/>
      <c r="I60" s="152"/>
      <c r="J60" s="152"/>
      <c r="K60" s="152"/>
      <c r="L60" s="33">
        <f t="shared" si="5"/>
        <v>6500</v>
      </c>
      <c r="M60" s="49">
        <v>3762</v>
      </c>
      <c r="N60" s="49">
        <f t="shared" si="4"/>
        <v>2738</v>
      </c>
      <c r="O60" s="53">
        <f t="shared" si="6"/>
        <v>9.4074352557274739E-4</v>
      </c>
      <c r="P60" s="87"/>
      <c r="Q60" s="58"/>
    </row>
    <row r="61" spans="1:17">
      <c r="A61" s="24">
        <v>186</v>
      </c>
      <c r="B61" s="20" t="s">
        <v>42</v>
      </c>
      <c r="C61" s="33">
        <v>2000</v>
      </c>
      <c r="D61" s="152"/>
      <c r="E61" s="152"/>
      <c r="F61" s="152">
        <v>84700</v>
      </c>
      <c r="G61" s="152"/>
      <c r="H61" s="152"/>
      <c r="I61" s="152"/>
      <c r="J61" s="152"/>
      <c r="K61" s="152"/>
      <c r="L61" s="33">
        <f t="shared" si="5"/>
        <v>86700</v>
      </c>
      <c r="M61" s="49">
        <v>51790</v>
      </c>
      <c r="N61" s="49">
        <f t="shared" si="4"/>
        <v>34910</v>
      </c>
      <c r="O61" s="53">
        <f t="shared" si="6"/>
        <v>1.2950852522438222E-2</v>
      </c>
      <c r="P61" s="87"/>
      <c r="Q61" s="58"/>
    </row>
    <row r="62" spans="1:17">
      <c r="A62" s="24">
        <v>187</v>
      </c>
      <c r="B62" s="20" t="s">
        <v>96</v>
      </c>
      <c r="C62" s="33">
        <v>20000</v>
      </c>
      <c r="D62" s="152"/>
      <c r="E62" s="152"/>
      <c r="F62" s="152"/>
      <c r="G62" s="152"/>
      <c r="H62" s="152"/>
      <c r="I62" s="152"/>
      <c r="J62" s="152"/>
      <c r="K62" s="152"/>
      <c r="L62" s="33">
        <f t="shared" si="5"/>
        <v>20000</v>
      </c>
      <c r="M62" s="49">
        <v>7900</v>
      </c>
      <c r="N62" s="49">
        <f t="shared" si="4"/>
        <v>12100</v>
      </c>
      <c r="O62" s="53">
        <f t="shared" si="6"/>
        <v>1.975511390756168E-3</v>
      </c>
      <c r="P62" s="87"/>
      <c r="Q62" s="58"/>
    </row>
    <row r="63" spans="1:17">
      <c r="A63" s="24">
        <v>188</v>
      </c>
      <c r="B63" s="20" t="s">
        <v>97</v>
      </c>
      <c r="C63" s="33">
        <v>60000</v>
      </c>
      <c r="D63" s="152"/>
      <c r="E63" s="152"/>
      <c r="F63" s="152"/>
      <c r="G63" s="152"/>
      <c r="H63" s="152"/>
      <c r="I63" s="152"/>
      <c r="J63" s="152"/>
      <c r="K63" s="152"/>
      <c r="L63" s="33">
        <f t="shared" si="5"/>
        <v>60000</v>
      </c>
      <c r="M63" s="49">
        <v>0</v>
      </c>
      <c r="N63" s="49">
        <f t="shared" si="4"/>
        <v>60000</v>
      </c>
      <c r="O63" s="53">
        <f t="shared" si="6"/>
        <v>0</v>
      </c>
      <c r="P63" s="87"/>
      <c r="Q63" s="58"/>
    </row>
    <row r="64" spans="1:17">
      <c r="A64" s="24">
        <v>189</v>
      </c>
      <c r="B64" s="20" t="s">
        <v>98</v>
      </c>
      <c r="C64" s="33">
        <v>285000</v>
      </c>
      <c r="D64" s="152"/>
      <c r="E64" s="152">
        <v>50000</v>
      </c>
      <c r="F64" s="152"/>
      <c r="G64" s="152"/>
      <c r="H64" s="152"/>
      <c r="I64" s="152"/>
      <c r="J64" s="152"/>
      <c r="K64" s="152"/>
      <c r="L64" s="33">
        <f t="shared" si="5"/>
        <v>235000</v>
      </c>
      <c r="M64" s="49">
        <v>204560</v>
      </c>
      <c r="N64" s="49">
        <f t="shared" si="4"/>
        <v>30440</v>
      </c>
      <c r="O64" s="53">
        <f t="shared" si="6"/>
        <v>5.1153241783934399E-2</v>
      </c>
      <c r="P64" s="87"/>
      <c r="Q64" s="58"/>
    </row>
    <row r="65" spans="1:18">
      <c r="A65" s="24">
        <v>191</v>
      </c>
      <c r="B65" s="20" t="s">
        <v>99</v>
      </c>
      <c r="C65" s="33">
        <v>11250</v>
      </c>
      <c r="D65" s="152"/>
      <c r="E65" s="152"/>
      <c r="F65" s="153"/>
      <c r="G65" s="152"/>
      <c r="H65" s="152"/>
      <c r="I65" s="152"/>
      <c r="J65" s="152"/>
      <c r="K65" s="152"/>
      <c r="L65" s="33">
        <f t="shared" si="5"/>
        <v>11250</v>
      </c>
      <c r="M65" s="49">
        <v>8527.8799999999992</v>
      </c>
      <c r="N65" s="49">
        <f t="shared" si="4"/>
        <v>2722.1200000000008</v>
      </c>
      <c r="O65" s="53">
        <f t="shared" si="6"/>
        <v>2.1325220353166719E-3</v>
      </c>
      <c r="P65" s="87"/>
      <c r="Q65" s="58"/>
    </row>
    <row r="66" spans="1:18">
      <c r="A66" s="24">
        <v>194</v>
      </c>
      <c r="B66" s="20" t="s">
        <v>148</v>
      </c>
      <c r="C66" s="33">
        <v>5000</v>
      </c>
      <c r="D66" s="152"/>
      <c r="E66" s="152"/>
      <c r="F66" s="152"/>
      <c r="G66" s="152"/>
      <c r="H66" s="152"/>
      <c r="I66" s="152"/>
      <c r="J66" s="152"/>
      <c r="K66" s="152"/>
      <c r="L66" s="33">
        <f t="shared" si="5"/>
        <v>5000</v>
      </c>
      <c r="M66" s="49">
        <v>2188.2199999999998</v>
      </c>
      <c r="N66" s="49">
        <f t="shared" si="4"/>
        <v>2811.78</v>
      </c>
      <c r="O66" s="53">
        <f t="shared" si="6"/>
        <v>5.471966500608179E-4</v>
      </c>
      <c r="P66" s="87"/>
      <c r="Q66" s="58"/>
    </row>
    <row r="67" spans="1:18">
      <c r="A67" s="24">
        <v>195</v>
      </c>
      <c r="B67" s="20" t="s">
        <v>34</v>
      </c>
      <c r="C67" s="33">
        <v>10000</v>
      </c>
      <c r="D67" s="152"/>
      <c r="E67" s="152"/>
      <c r="F67" s="152">
        <v>9500</v>
      </c>
      <c r="G67" s="152"/>
      <c r="H67" s="152"/>
      <c r="I67" s="152"/>
      <c r="J67" s="152"/>
      <c r="K67" s="152"/>
      <c r="L67" s="33">
        <f t="shared" si="5"/>
        <v>19500</v>
      </c>
      <c r="M67" s="49">
        <v>15921.83</v>
      </c>
      <c r="N67" s="49">
        <f t="shared" si="4"/>
        <v>3578.17</v>
      </c>
      <c r="O67" s="53">
        <f t="shared" si="6"/>
        <v>3.9814881679345925E-3</v>
      </c>
      <c r="P67" s="87"/>
      <c r="Q67" s="58"/>
    </row>
    <row r="68" spans="1:18">
      <c r="A68" s="24">
        <v>196</v>
      </c>
      <c r="B68" s="20" t="s">
        <v>100</v>
      </c>
      <c r="C68" s="33">
        <v>20000</v>
      </c>
      <c r="D68" s="152"/>
      <c r="E68" s="152"/>
      <c r="F68" s="152"/>
      <c r="G68" s="152">
        <v>20000</v>
      </c>
      <c r="H68" s="152"/>
      <c r="I68" s="152"/>
      <c r="J68" s="152"/>
      <c r="K68" s="152"/>
      <c r="L68" s="33">
        <f t="shared" si="5"/>
        <v>0</v>
      </c>
      <c r="M68" s="49">
        <v>0</v>
      </c>
      <c r="N68" s="49">
        <f t="shared" si="4"/>
        <v>0</v>
      </c>
      <c r="O68" s="53">
        <f t="shared" si="6"/>
        <v>0</v>
      </c>
      <c r="P68" s="87"/>
      <c r="Q68" s="58"/>
    </row>
    <row r="69" spans="1:18">
      <c r="A69" s="24">
        <v>199</v>
      </c>
      <c r="B69" s="20" t="s">
        <v>55</v>
      </c>
      <c r="C69" s="33">
        <v>25000</v>
      </c>
      <c r="D69" s="152"/>
      <c r="E69" s="152"/>
      <c r="F69" s="152"/>
      <c r="G69" s="152"/>
      <c r="H69" s="152"/>
      <c r="I69" s="152"/>
      <c r="J69" s="152"/>
      <c r="K69" s="152"/>
      <c r="L69" s="33">
        <f t="shared" si="5"/>
        <v>25000</v>
      </c>
      <c r="M69" s="49">
        <v>21365.94</v>
      </c>
      <c r="N69" s="49">
        <f t="shared" si="4"/>
        <v>3634.0600000000013</v>
      </c>
      <c r="O69" s="53">
        <f t="shared" si="6"/>
        <v>5.3428680815459286E-3</v>
      </c>
      <c r="P69" s="87"/>
      <c r="Q69" s="58"/>
    </row>
    <row r="70" spans="1:18">
      <c r="A70" s="24"/>
      <c r="B70" s="20"/>
      <c r="C70" s="33"/>
      <c r="D70" s="152"/>
      <c r="E70" s="152"/>
      <c r="F70" s="152"/>
      <c r="G70" s="152"/>
      <c r="H70" s="152"/>
      <c r="I70" s="152"/>
      <c r="J70" s="152"/>
      <c r="K70" s="152"/>
      <c r="L70" s="33"/>
      <c r="M70" s="81"/>
      <c r="N70" s="49"/>
      <c r="O70" s="53"/>
      <c r="P70" s="87"/>
      <c r="Q70" s="58"/>
    </row>
    <row r="71" spans="1:18">
      <c r="A71" s="23">
        <v>2</v>
      </c>
      <c r="B71" s="23" t="s">
        <v>11</v>
      </c>
      <c r="C71" s="33"/>
      <c r="D71" s="152"/>
      <c r="E71" s="152"/>
      <c r="F71" s="152"/>
      <c r="G71" s="152"/>
      <c r="H71" s="152"/>
      <c r="I71" s="152"/>
      <c r="J71" s="152"/>
      <c r="K71" s="152"/>
      <c r="L71" s="33"/>
      <c r="M71" s="83"/>
      <c r="N71" s="49"/>
      <c r="O71" s="53"/>
      <c r="P71" s="87"/>
      <c r="Q71" s="58"/>
    </row>
    <row r="72" spans="1:18">
      <c r="A72" s="24">
        <v>211</v>
      </c>
      <c r="B72" s="20" t="s">
        <v>23</v>
      </c>
      <c r="C72" s="33">
        <v>111400</v>
      </c>
      <c r="D72" s="152"/>
      <c r="E72" s="152"/>
      <c r="F72" s="152"/>
      <c r="G72" s="152">
        <v>25000</v>
      </c>
      <c r="H72" s="152"/>
      <c r="I72" s="152"/>
      <c r="J72" s="152"/>
      <c r="K72" s="152"/>
      <c r="L72" s="33">
        <f t="shared" ref="L72:L98" si="7">C72+D72-E72+F72-G72+H72-I72+J72-K72</f>
        <v>86400</v>
      </c>
      <c r="M72" s="49">
        <v>63273.509999999995</v>
      </c>
      <c r="N72" s="49">
        <f t="shared" ref="N72:N98" si="8">L72-M72</f>
        <v>23126.490000000005</v>
      </c>
      <c r="O72" s="53">
        <f t="shared" ref="O72:O98" si="9">M72/$M$114</f>
        <v>1.5822473384572697E-2</v>
      </c>
      <c r="P72" s="87"/>
      <c r="Q72" s="58"/>
    </row>
    <row r="73" spans="1:18" hidden="1">
      <c r="A73" s="24">
        <v>219</v>
      </c>
      <c r="B73" s="20" t="s">
        <v>24</v>
      </c>
      <c r="C73" s="33">
        <v>0</v>
      </c>
      <c r="D73" s="152"/>
      <c r="E73" s="152"/>
      <c r="F73" s="152"/>
      <c r="G73" s="152"/>
      <c r="H73" s="152"/>
      <c r="I73" s="152"/>
      <c r="J73" s="152"/>
      <c r="K73" s="152"/>
      <c r="L73" s="33">
        <f t="shared" si="7"/>
        <v>0</v>
      </c>
      <c r="M73" s="49"/>
      <c r="N73" s="49">
        <f t="shared" si="8"/>
        <v>0</v>
      </c>
      <c r="O73" s="53">
        <f t="shared" si="9"/>
        <v>0</v>
      </c>
      <c r="P73" s="87"/>
      <c r="Q73" s="58"/>
    </row>
    <row r="74" spans="1:18">
      <c r="A74" s="24">
        <v>232</v>
      </c>
      <c r="B74" s="20" t="s">
        <v>57</v>
      </c>
      <c r="C74" s="33">
        <v>1080</v>
      </c>
      <c r="D74" s="152"/>
      <c r="E74" s="152"/>
      <c r="F74" s="152"/>
      <c r="G74" s="152"/>
      <c r="H74" s="152">
        <v>800</v>
      </c>
      <c r="I74" s="152"/>
      <c r="J74" s="152"/>
      <c r="K74" s="152"/>
      <c r="L74" s="33">
        <f t="shared" si="7"/>
        <v>1880</v>
      </c>
      <c r="M74" s="49">
        <v>1231</v>
      </c>
      <c r="N74" s="49">
        <f t="shared" si="8"/>
        <v>649</v>
      </c>
      <c r="O74" s="53">
        <f t="shared" si="9"/>
        <v>3.0782968633175225E-4</v>
      </c>
      <c r="P74" s="87"/>
      <c r="Q74" s="58"/>
    </row>
    <row r="75" spans="1:18">
      <c r="A75" s="24">
        <v>233</v>
      </c>
      <c r="B75" s="20" t="s">
        <v>70</v>
      </c>
      <c r="C75" s="33">
        <v>58000</v>
      </c>
      <c r="D75" s="152"/>
      <c r="E75" s="152"/>
      <c r="F75" s="152"/>
      <c r="G75" s="152">
        <v>40000</v>
      </c>
      <c r="H75" s="152">
        <v>44250</v>
      </c>
      <c r="I75" s="152"/>
      <c r="J75" s="152"/>
      <c r="K75" s="152"/>
      <c r="L75" s="33">
        <f t="shared" si="7"/>
        <v>62250</v>
      </c>
      <c r="M75" s="49">
        <v>45460.84</v>
      </c>
      <c r="N75" s="49">
        <f t="shared" si="8"/>
        <v>16789.160000000003</v>
      </c>
      <c r="O75" s="53">
        <f t="shared" si="9"/>
        <v>1.1368152816878941E-2</v>
      </c>
      <c r="P75" s="87"/>
      <c r="Q75" s="58"/>
      <c r="R75" s="87"/>
    </row>
    <row r="76" spans="1:18">
      <c r="A76" s="24">
        <v>241</v>
      </c>
      <c r="B76" s="20" t="s">
        <v>58</v>
      </c>
      <c r="C76" s="33">
        <v>6000</v>
      </c>
      <c r="D76" s="152"/>
      <c r="E76" s="152"/>
      <c r="F76" s="152"/>
      <c r="G76" s="152"/>
      <c r="H76" s="152"/>
      <c r="I76" s="152"/>
      <c r="J76" s="152"/>
      <c r="K76" s="152"/>
      <c r="L76" s="33">
        <f t="shared" si="7"/>
        <v>6000</v>
      </c>
      <c r="M76" s="49">
        <v>2223.4</v>
      </c>
      <c r="N76" s="49">
        <f t="shared" si="8"/>
        <v>3776.6</v>
      </c>
      <c r="O76" s="53">
        <f t="shared" si="9"/>
        <v>5.5599392736800808E-4</v>
      </c>
      <c r="P76" s="87"/>
      <c r="Q76" s="58"/>
      <c r="R76" s="87"/>
    </row>
    <row r="77" spans="1:18">
      <c r="A77" s="24">
        <v>243</v>
      </c>
      <c r="B77" s="20" t="s">
        <v>43</v>
      </c>
      <c r="C77" s="33">
        <v>1100</v>
      </c>
      <c r="D77" s="152"/>
      <c r="E77" s="152"/>
      <c r="F77" s="152"/>
      <c r="G77" s="152"/>
      <c r="H77" s="152"/>
      <c r="I77" s="152"/>
      <c r="J77" s="152"/>
      <c r="K77" s="152"/>
      <c r="L77" s="33">
        <f t="shared" si="7"/>
        <v>1100</v>
      </c>
      <c r="M77" s="49">
        <v>496.39999999999992</v>
      </c>
      <c r="N77" s="49">
        <f t="shared" si="8"/>
        <v>603.60000000000014</v>
      </c>
      <c r="O77" s="53">
        <f t="shared" si="9"/>
        <v>1.2413213346472934E-4</v>
      </c>
      <c r="P77" s="87"/>
      <c r="Q77" s="58"/>
    </row>
    <row r="78" spans="1:18">
      <c r="A78" s="24">
        <v>244</v>
      </c>
      <c r="B78" s="20" t="s">
        <v>44</v>
      </c>
      <c r="C78" s="33">
        <v>2255</v>
      </c>
      <c r="D78" s="152"/>
      <c r="E78" s="152"/>
      <c r="F78" s="152"/>
      <c r="G78" s="152"/>
      <c r="H78" s="152"/>
      <c r="I78" s="152"/>
      <c r="J78" s="152"/>
      <c r="K78" s="152"/>
      <c r="L78" s="33">
        <f t="shared" si="7"/>
        <v>2255</v>
      </c>
      <c r="M78" s="49">
        <v>1223.2</v>
      </c>
      <c r="N78" s="49">
        <f t="shared" si="8"/>
        <v>1031.8</v>
      </c>
      <c r="O78" s="53">
        <f t="shared" si="9"/>
        <v>3.0587918141429684E-4</v>
      </c>
      <c r="P78" s="87"/>
      <c r="Q78" s="58"/>
    </row>
    <row r="79" spans="1:18">
      <c r="A79" s="24">
        <v>245</v>
      </c>
      <c r="B79" s="20" t="s">
        <v>45</v>
      </c>
      <c r="C79" s="33">
        <v>1300</v>
      </c>
      <c r="D79" s="152"/>
      <c r="E79" s="152"/>
      <c r="F79" s="152"/>
      <c r="G79" s="152"/>
      <c r="H79" s="152"/>
      <c r="I79" s="152"/>
      <c r="J79" s="152"/>
      <c r="K79" s="152"/>
      <c r="L79" s="33">
        <f t="shared" si="7"/>
        <v>1300</v>
      </c>
      <c r="M79" s="49">
        <v>795</v>
      </c>
      <c r="N79" s="49">
        <f t="shared" si="8"/>
        <v>505</v>
      </c>
      <c r="O79" s="53">
        <f t="shared" si="9"/>
        <v>1.9880146274065235E-4</v>
      </c>
      <c r="P79" s="87"/>
      <c r="Q79" s="58"/>
    </row>
    <row r="80" spans="1:18">
      <c r="A80" s="24">
        <v>253</v>
      </c>
      <c r="B80" s="20" t="s">
        <v>37</v>
      </c>
      <c r="C80" s="33">
        <v>7500</v>
      </c>
      <c r="D80" s="152"/>
      <c r="E80" s="152"/>
      <c r="F80" s="152"/>
      <c r="G80" s="152"/>
      <c r="H80" s="152"/>
      <c r="I80" s="152"/>
      <c r="J80" s="152"/>
      <c r="K80" s="152"/>
      <c r="L80" s="33">
        <f t="shared" si="7"/>
        <v>7500</v>
      </c>
      <c r="M80" s="49">
        <v>0</v>
      </c>
      <c r="N80" s="49">
        <f t="shared" si="8"/>
        <v>7500</v>
      </c>
      <c r="O80" s="53">
        <f t="shared" si="9"/>
        <v>0</v>
      </c>
      <c r="P80" s="87"/>
      <c r="Q80" s="58"/>
    </row>
    <row r="81" spans="1:17">
      <c r="A81" s="24">
        <v>254</v>
      </c>
      <c r="B81" s="20" t="s">
        <v>46</v>
      </c>
      <c r="C81" s="33">
        <v>750</v>
      </c>
      <c r="D81" s="152"/>
      <c r="E81" s="152"/>
      <c r="F81" s="152"/>
      <c r="G81" s="152"/>
      <c r="H81" s="152"/>
      <c r="I81" s="152"/>
      <c r="J81" s="152"/>
      <c r="K81" s="152"/>
      <c r="L81" s="33">
        <f t="shared" si="7"/>
        <v>750</v>
      </c>
      <c r="M81" s="49">
        <v>270</v>
      </c>
      <c r="N81" s="49">
        <f t="shared" si="8"/>
        <v>480</v>
      </c>
      <c r="O81" s="53">
        <f t="shared" si="9"/>
        <v>6.7517477911919671E-5</v>
      </c>
      <c r="P81" s="87"/>
      <c r="Q81" s="58"/>
    </row>
    <row r="82" spans="1:17">
      <c r="A82" s="24">
        <v>262</v>
      </c>
      <c r="B82" s="20" t="s">
        <v>59</v>
      </c>
      <c r="C82" s="33">
        <v>9770</v>
      </c>
      <c r="D82" s="152"/>
      <c r="E82" s="152"/>
      <c r="F82" s="152"/>
      <c r="G82" s="152"/>
      <c r="H82" s="152"/>
      <c r="I82" s="152"/>
      <c r="J82" s="152"/>
      <c r="K82" s="152"/>
      <c r="L82" s="33">
        <f t="shared" si="7"/>
        <v>9770</v>
      </c>
      <c r="M82" s="49">
        <v>8574.9599999999991</v>
      </c>
      <c r="N82" s="49">
        <f t="shared" si="8"/>
        <v>1195.0400000000009</v>
      </c>
      <c r="O82" s="53">
        <f t="shared" si="9"/>
        <v>2.1442950829466466E-3</v>
      </c>
      <c r="P82" s="87"/>
      <c r="Q82" s="58"/>
    </row>
    <row r="83" spans="1:17">
      <c r="A83" s="24">
        <v>266</v>
      </c>
      <c r="B83" s="20" t="s">
        <v>60</v>
      </c>
      <c r="C83" s="33">
        <v>600</v>
      </c>
      <c r="D83" s="152">
        <v>1250</v>
      </c>
      <c r="E83" s="152"/>
      <c r="F83" s="152"/>
      <c r="G83" s="152"/>
      <c r="H83" s="152"/>
      <c r="I83" s="152"/>
      <c r="J83" s="152"/>
      <c r="K83" s="152"/>
      <c r="L83" s="33">
        <f t="shared" si="7"/>
        <v>1850</v>
      </c>
      <c r="M83" s="49">
        <v>1411.7599999999998</v>
      </c>
      <c r="N83" s="49">
        <f t="shared" si="8"/>
        <v>438.24000000000024</v>
      </c>
      <c r="O83" s="53">
        <f t="shared" si="9"/>
        <v>3.5303138747011737E-4</v>
      </c>
      <c r="P83" s="87"/>
      <c r="Q83" s="58"/>
    </row>
    <row r="84" spans="1:17">
      <c r="A84" s="24">
        <v>267</v>
      </c>
      <c r="B84" s="20" t="s">
        <v>86</v>
      </c>
      <c r="C84" s="33">
        <v>22000</v>
      </c>
      <c r="D84" s="152"/>
      <c r="E84" s="152"/>
      <c r="F84" s="152"/>
      <c r="G84" s="152"/>
      <c r="H84" s="152"/>
      <c r="I84" s="152"/>
      <c r="J84" s="152"/>
      <c r="K84" s="152"/>
      <c r="L84" s="33">
        <f t="shared" si="7"/>
        <v>22000</v>
      </c>
      <c r="M84" s="49">
        <v>13852</v>
      </c>
      <c r="N84" s="49">
        <f t="shared" si="8"/>
        <v>8148</v>
      </c>
      <c r="O84" s="53">
        <f t="shared" si="9"/>
        <v>3.4638966816144859E-3</v>
      </c>
      <c r="P84" s="87"/>
      <c r="Q84" s="58"/>
    </row>
    <row r="85" spans="1:17">
      <c r="A85" s="24">
        <v>268</v>
      </c>
      <c r="B85" s="20" t="s">
        <v>61</v>
      </c>
      <c r="C85" s="33">
        <v>794</v>
      </c>
      <c r="D85" s="152">
        <v>1000</v>
      </c>
      <c r="E85" s="152"/>
      <c r="F85" s="152"/>
      <c r="G85" s="152"/>
      <c r="H85" s="152"/>
      <c r="I85" s="152"/>
      <c r="J85" s="152"/>
      <c r="K85" s="152"/>
      <c r="L85" s="33">
        <f t="shared" si="7"/>
        <v>1794</v>
      </c>
      <c r="M85" s="49">
        <v>1610.5000000000002</v>
      </c>
      <c r="N85" s="49">
        <f t="shared" si="8"/>
        <v>183.49999999999977</v>
      </c>
      <c r="O85" s="53">
        <f t="shared" si="9"/>
        <v>4.0272925250795053E-4</v>
      </c>
      <c r="P85" s="87"/>
      <c r="Q85" s="58"/>
    </row>
    <row r="86" spans="1:17">
      <c r="A86" s="24">
        <v>269</v>
      </c>
      <c r="B86" s="20" t="s">
        <v>62</v>
      </c>
      <c r="C86" s="33">
        <v>500</v>
      </c>
      <c r="D86" s="152">
        <v>750</v>
      </c>
      <c r="E86" s="152"/>
      <c r="F86" s="152"/>
      <c r="G86" s="152"/>
      <c r="H86" s="152"/>
      <c r="I86" s="152"/>
      <c r="J86" s="152"/>
      <c r="K86" s="152"/>
      <c r="L86" s="33">
        <f t="shared" si="7"/>
        <v>1250</v>
      </c>
      <c r="M86" s="49">
        <v>450</v>
      </c>
      <c r="N86" s="49">
        <f t="shared" si="8"/>
        <v>800</v>
      </c>
      <c r="O86" s="53">
        <f t="shared" si="9"/>
        <v>1.1252912985319945E-4</v>
      </c>
      <c r="P86" s="87"/>
      <c r="Q86" s="58"/>
    </row>
    <row r="87" spans="1:17">
      <c r="A87" s="24">
        <v>271</v>
      </c>
      <c r="B87" s="20" t="s">
        <v>63</v>
      </c>
      <c r="C87" s="33">
        <v>160800</v>
      </c>
      <c r="D87" s="152"/>
      <c r="E87" s="152"/>
      <c r="F87" s="152"/>
      <c r="G87" s="152">
        <v>7700</v>
      </c>
      <c r="H87" s="152"/>
      <c r="I87" s="152"/>
      <c r="J87" s="152"/>
      <c r="K87" s="152"/>
      <c r="L87" s="33">
        <f t="shared" si="7"/>
        <v>153100</v>
      </c>
      <c r="M87" s="49">
        <v>152689.19</v>
      </c>
      <c r="N87" s="49">
        <f t="shared" ref="N87" si="10">L87-M87</f>
        <v>410.80999999999767</v>
      </c>
      <c r="O87" s="53">
        <f t="shared" si="9"/>
        <v>3.8182181530421876E-2</v>
      </c>
      <c r="P87" s="87"/>
      <c r="Q87" s="58"/>
    </row>
    <row r="88" spans="1:17">
      <c r="A88" s="24">
        <v>273</v>
      </c>
      <c r="B88" s="20" t="s">
        <v>190</v>
      </c>
      <c r="C88" s="33">
        <v>0</v>
      </c>
      <c r="D88" s="152"/>
      <c r="E88" s="152"/>
      <c r="F88" s="152"/>
      <c r="G88" s="152"/>
      <c r="H88" s="152"/>
      <c r="I88" s="152"/>
      <c r="J88" s="152">
        <v>750</v>
      </c>
      <c r="K88" s="152"/>
      <c r="L88" s="33">
        <f t="shared" si="7"/>
        <v>750</v>
      </c>
      <c r="M88" s="49"/>
      <c r="N88" s="49">
        <f t="shared" si="8"/>
        <v>750</v>
      </c>
      <c r="O88" s="53">
        <f t="shared" si="9"/>
        <v>0</v>
      </c>
      <c r="P88" s="87"/>
      <c r="Q88" s="58"/>
    </row>
    <row r="89" spans="1:17">
      <c r="A89" s="24">
        <v>283</v>
      </c>
      <c r="B89" s="20" t="s">
        <v>64</v>
      </c>
      <c r="C89" s="33">
        <v>1000</v>
      </c>
      <c r="D89" s="152"/>
      <c r="E89" s="152"/>
      <c r="F89" s="152"/>
      <c r="G89" s="152"/>
      <c r="H89" s="152">
        <v>500</v>
      </c>
      <c r="I89" s="152"/>
      <c r="J89" s="152"/>
      <c r="K89" s="152"/>
      <c r="L89" s="33">
        <f t="shared" si="7"/>
        <v>1500</v>
      </c>
      <c r="M89" s="49">
        <v>871.16</v>
      </c>
      <c r="N89" s="49">
        <f t="shared" si="8"/>
        <v>628.84</v>
      </c>
      <c r="O89" s="53">
        <f t="shared" si="9"/>
        <v>2.1784639280647385E-4</v>
      </c>
      <c r="P89" s="87"/>
      <c r="Q89" s="58"/>
    </row>
    <row r="90" spans="1:17">
      <c r="A90" s="24">
        <v>284</v>
      </c>
      <c r="B90" s="20" t="s">
        <v>47</v>
      </c>
      <c r="C90" s="33">
        <v>7500</v>
      </c>
      <c r="D90" s="152"/>
      <c r="E90" s="152"/>
      <c r="F90" s="152"/>
      <c r="G90" s="152"/>
      <c r="H90" s="152">
        <v>5000</v>
      </c>
      <c r="I90" s="152"/>
      <c r="J90" s="152"/>
      <c r="K90" s="152"/>
      <c r="L90" s="33">
        <f t="shared" si="7"/>
        <v>12500</v>
      </c>
      <c r="M90" s="49">
        <v>0</v>
      </c>
      <c r="N90" s="49">
        <f t="shared" si="8"/>
        <v>12500</v>
      </c>
      <c r="O90" s="53">
        <f t="shared" si="9"/>
        <v>0</v>
      </c>
      <c r="P90" s="87"/>
      <c r="Q90" s="58"/>
    </row>
    <row r="91" spans="1:17">
      <c r="A91" s="24">
        <v>285</v>
      </c>
      <c r="B91" s="20" t="s">
        <v>113</v>
      </c>
      <c r="C91" s="33">
        <v>807000</v>
      </c>
      <c r="D91" s="152"/>
      <c r="E91" s="152"/>
      <c r="F91" s="152">
        <v>50000</v>
      </c>
      <c r="G91" s="152"/>
      <c r="H91" s="152"/>
      <c r="I91" s="152"/>
      <c r="J91" s="152"/>
      <c r="K91" s="152"/>
      <c r="L91" s="33">
        <f t="shared" si="7"/>
        <v>857000</v>
      </c>
      <c r="M91" s="49">
        <v>0</v>
      </c>
      <c r="N91" s="49">
        <f t="shared" si="8"/>
        <v>857000</v>
      </c>
      <c r="O91" s="53">
        <f t="shared" si="9"/>
        <v>0</v>
      </c>
      <c r="P91" s="87"/>
      <c r="Q91" s="58"/>
    </row>
    <row r="92" spans="1:17">
      <c r="A92" s="24">
        <v>291</v>
      </c>
      <c r="B92" s="20" t="s">
        <v>65</v>
      </c>
      <c r="C92" s="33">
        <v>9000</v>
      </c>
      <c r="D92" s="152"/>
      <c r="E92" s="152"/>
      <c r="F92" s="152"/>
      <c r="G92" s="152"/>
      <c r="H92" s="152"/>
      <c r="I92" s="152"/>
      <c r="J92" s="152"/>
      <c r="K92" s="152"/>
      <c r="L92" s="33">
        <f t="shared" si="7"/>
        <v>9000</v>
      </c>
      <c r="M92" s="49">
        <v>2943.2400000000002</v>
      </c>
      <c r="N92" s="49">
        <f t="shared" si="8"/>
        <v>6056.76</v>
      </c>
      <c r="O92" s="53">
        <f t="shared" si="9"/>
        <v>7.3600052477584615E-4</v>
      </c>
      <c r="P92" s="87"/>
      <c r="Q92" s="58"/>
    </row>
    <row r="93" spans="1:17">
      <c r="A93" s="24">
        <v>292</v>
      </c>
      <c r="B93" s="20" t="s">
        <v>66</v>
      </c>
      <c r="C93" s="33">
        <v>1800</v>
      </c>
      <c r="D93" s="152"/>
      <c r="E93" s="152"/>
      <c r="F93" s="152"/>
      <c r="G93" s="152"/>
      <c r="H93" s="152"/>
      <c r="I93" s="152"/>
      <c r="J93" s="152"/>
      <c r="K93" s="152"/>
      <c r="L93" s="33">
        <f t="shared" si="7"/>
        <v>1800</v>
      </c>
      <c r="M93" s="49">
        <v>1346.35</v>
      </c>
      <c r="N93" s="49">
        <f t="shared" si="8"/>
        <v>453.65000000000009</v>
      </c>
      <c r="O93" s="53">
        <f t="shared" si="9"/>
        <v>3.3667465328412235E-4</v>
      </c>
      <c r="P93" s="87"/>
      <c r="Q93" s="58"/>
    </row>
    <row r="94" spans="1:17">
      <c r="A94" s="24">
        <v>294</v>
      </c>
      <c r="B94" s="20" t="s">
        <v>67</v>
      </c>
      <c r="C94" s="33">
        <v>140250</v>
      </c>
      <c r="D94" s="152"/>
      <c r="E94" s="152"/>
      <c r="F94" s="152"/>
      <c r="G94" s="152"/>
      <c r="H94" s="152">
        <v>17000</v>
      </c>
      <c r="I94" s="152"/>
      <c r="J94" s="152"/>
      <c r="K94" s="152"/>
      <c r="L94" s="33">
        <f t="shared" si="7"/>
        <v>157250</v>
      </c>
      <c r="M94" s="49">
        <v>118854.64</v>
      </c>
      <c r="N94" s="49">
        <f t="shared" si="8"/>
        <v>38395.360000000001</v>
      </c>
      <c r="O94" s="53">
        <f t="shared" si="9"/>
        <v>2.9721353818256163E-2</v>
      </c>
      <c r="P94" s="87"/>
      <c r="Q94" s="58"/>
    </row>
    <row r="95" spans="1:17">
      <c r="A95" s="24">
        <v>296</v>
      </c>
      <c r="B95" s="20" t="s">
        <v>180</v>
      </c>
      <c r="C95" s="33">
        <v>500</v>
      </c>
      <c r="D95" s="152"/>
      <c r="E95" s="152"/>
      <c r="F95" s="152"/>
      <c r="G95" s="152"/>
      <c r="H95" s="152"/>
      <c r="I95" s="152"/>
      <c r="J95" s="152"/>
      <c r="K95" s="152"/>
      <c r="L95" s="33">
        <f t="shared" si="7"/>
        <v>500</v>
      </c>
      <c r="M95" s="49">
        <v>0</v>
      </c>
      <c r="N95" s="49">
        <f t="shared" si="8"/>
        <v>500</v>
      </c>
      <c r="O95" s="53">
        <f t="shared" si="9"/>
        <v>0</v>
      </c>
      <c r="P95" s="87"/>
      <c r="Q95" s="58"/>
    </row>
    <row r="96" spans="1:17">
      <c r="A96" s="24">
        <v>297</v>
      </c>
      <c r="B96" s="20" t="s">
        <v>68</v>
      </c>
      <c r="C96" s="33">
        <v>1000</v>
      </c>
      <c r="D96" s="152"/>
      <c r="E96" s="152"/>
      <c r="F96" s="152"/>
      <c r="G96" s="152"/>
      <c r="H96" s="152"/>
      <c r="I96" s="152"/>
      <c r="J96" s="152"/>
      <c r="K96" s="152"/>
      <c r="L96" s="33">
        <f t="shared" si="7"/>
        <v>1000</v>
      </c>
      <c r="M96" s="49">
        <v>530.17999999999995</v>
      </c>
      <c r="N96" s="49">
        <f t="shared" si="8"/>
        <v>469.82000000000005</v>
      </c>
      <c r="O96" s="53">
        <f t="shared" si="9"/>
        <v>1.325793201457095E-4</v>
      </c>
      <c r="P96" s="87"/>
      <c r="Q96" s="58"/>
    </row>
    <row r="97" spans="1:17">
      <c r="A97" s="24">
        <v>298</v>
      </c>
      <c r="B97" s="20" t="s">
        <v>25</v>
      </c>
      <c r="C97" s="33">
        <v>85460</v>
      </c>
      <c r="D97" s="152"/>
      <c r="E97" s="152">
        <v>20000</v>
      </c>
      <c r="F97" s="152"/>
      <c r="G97" s="152">
        <v>25000</v>
      </c>
      <c r="H97" s="152">
        <v>6600</v>
      </c>
      <c r="I97" s="152"/>
      <c r="J97" s="152"/>
      <c r="K97" s="152"/>
      <c r="L97" s="33">
        <f t="shared" si="7"/>
        <v>47060</v>
      </c>
      <c r="M97" s="49">
        <v>11958.1</v>
      </c>
      <c r="N97" s="49">
        <f t="shared" si="8"/>
        <v>35101.9</v>
      </c>
      <c r="O97" s="53">
        <f t="shared" si="9"/>
        <v>2.9902990837723208E-3</v>
      </c>
      <c r="P97" s="87"/>
      <c r="Q97" s="58"/>
    </row>
    <row r="98" spans="1:17">
      <c r="A98" s="24">
        <v>299</v>
      </c>
      <c r="B98" s="20" t="s">
        <v>69</v>
      </c>
      <c r="C98" s="33">
        <v>12000</v>
      </c>
      <c r="D98" s="152"/>
      <c r="E98" s="152"/>
      <c r="F98" s="152"/>
      <c r="G98" s="152"/>
      <c r="H98" s="152"/>
      <c r="I98" s="152"/>
      <c r="J98" s="152"/>
      <c r="K98" s="152"/>
      <c r="L98" s="33">
        <f t="shared" si="7"/>
        <v>12000</v>
      </c>
      <c r="M98" s="49">
        <v>3009.05</v>
      </c>
      <c r="N98" s="49">
        <f t="shared" si="8"/>
        <v>8990.9500000000007</v>
      </c>
      <c r="O98" s="53">
        <f t="shared" si="9"/>
        <v>7.5245728485504406E-4</v>
      </c>
      <c r="P98" s="87"/>
      <c r="Q98" s="58"/>
    </row>
    <row r="99" spans="1:17">
      <c r="A99" s="24"/>
      <c r="B99" s="20"/>
      <c r="C99" s="33"/>
      <c r="D99" s="152"/>
      <c r="E99" s="152"/>
      <c r="F99" s="152"/>
      <c r="G99" s="152"/>
      <c r="H99" s="152"/>
      <c r="I99" s="152"/>
      <c r="J99" s="152"/>
      <c r="K99" s="152"/>
      <c r="L99" s="33"/>
      <c r="M99" s="81"/>
      <c r="N99" s="49"/>
      <c r="O99" s="53"/>
      <c r="P99" s="87"/>
      <c r="Q99" s="58"/>
    </row>
    <row r="100" spans="1:17">
      <c r="A100" s="23">
        <v>3</v>
      </c>
      <c r="B100" s="23" t="s">
        <v>129</v>
      </c>
      <c r="C100" s="33"/>
      <c r="D100" s="152"/>
      <c r="E100" s="152"/>
      <c r="F100" s="152"/>
      <c r="G100" s="152"/>
      <c r="H100" s="152"/>
      <c r="I100" s="152"/>
      <c r="J100" s="152"/>
      <c r="K100" s="152"/>
      <c r="L100" s="33"/>
      <c r="M100" s="83"/>
      <c r="N100" s="49"/>
      <c r="O100" s="53"/>
      <c r="P100" s="87"/>
      <c r="Q100" s="58"/>
    </row>
    <row r="101" spans="1:17">
      <c r="A101" s="24">
        <v>322</v>
      </c>
      <c r="B101" s="20" t="s">
        <v>83</v>
      </c>
      <c r="C101" s="33">
        <v>18000</v>
      </c>
      <c r="D101" s="152"/>
      <c r="E101" s="152"/>
      <c r="F101" s="152"/>
      <c r="G101" s="152"/>
      <c r="H101" s="152"/>
      <c r="I101" s="152"/>
      <c r="J101" s="152"/>
      <c r="K101" s="152"/>
      <c r="L101" s="33">
        <f t="shared" ref="L101:L112" si="11">C101+D101-E101+F101-G101+H101-I101+J101-K101</f>
        <v>18000</v>
      </c>
      <c r="M101" s="49">
        <v>0</v>
      </c>
      <c r="N101" s="49">
        <f t="shared" ref="N101:N106" si="12">L101-M101</f>
        <v>18000</v>
      </c>
      <c r="O101" s="53">
        <f t="shared" ref="O101:O106" si="13">M101/$M$114</f>
        <v>0</v>
      </c>
      <c r="P101" s="87"/>
      <c r="Q101" s="58"/>
    </row>
    <row r="102" spans="1:17" hidden="1">
      <c r="A102" s="24">
        <v>323</v>
      </c>
      <c r="B102" s="20" t="s">
        <v>119</v>
      </c>
      <c r="C102" s="33">
        <v>0</v>
      </c>
      <c r="D102" s="152"/>
      <c r="E102" s="152"/>
      <c r="F102" s="152"/>
      <c r="G102" s="152"/>
      <c r="H102" s="152"/>
      <c r="I102" s="152"/>
      <c r="J102" s="152"/>
      <c r="K102" s="152"/>
      <c r="L102" s="33">
        <f t="shared" si="11"/>
        <v>0</v>
      </c>
      <c r="M102" s="49"/>
      <c r="N102" s="49">
        <f t="shared" si="12"/>
        <v>0</v>
      </c>
      <c r="O102" s="53">
        <f t="shared" si="13"/>
        <v>0</v>
      </c>
      <c r="P102" s="87"/>
      <c r="Q102" s="58"/>
    </row>
    <row r="103" spans="1:17">
      <c r="A103" s="24">
        <v>324</v>
      </c>
      <c r="B103" s="20" t="s">
        <v>120</v>
      </c>
      <c r="C103" s="33">
        <v>2147922.54</v>
      </c>
      <c r="D103" s="152"/>
      <c r="E103" s="152"/>
      <c r="F103" s="152"/>
      <c r="G103" s="152"/>
      <c r="H103" s="152">
        <v>19200</v>
      </c>
      <c r="I103" s="152"/>
      <c r="J103" s="152"/>
      <c r="K103" s="152"/>
      <c r="L103" s="33">
        <f t="shared" si="11"/>
        <v>2167122.54</v>
      </c>
      <c r="M103" s="49">
        <v>89975</v>
      </c>
      <c r="N103" s="49">
        <f t="shared" si="12"/>
        <v>2077147.54</v>
      </c>
      <c r="O103" s="53">
        <f t="shared" si="13"/>
        <v>2.249957435231471E-2</v>
      </c>
      <c r="P103" s="87"/>
      <c r="Q103" s="58"/>
    </row>
    <row r="104" spans="1:17">
      <c r="A104" s="24">
        <v>328</v>
      </c>
      <c r="B104" s="20" t="s">
        <v>84</v>
      </c>
      <c r="C104" s="33">
        <v>7500</v>
      </c>
      <c r="D104" s="152"/>
      <c r="E104" s="152"/>
      <c r="F104" s="152"/>
      <c r="G104" s="152"/>
      <c r="H104" s="152">
        <v>2900</v>
      </c>
      <c r="I104" s="152"/>
      <c r="J104" s="152"/>
      <c r="K104" s="152"/>
      <c r="L104" s="33">
        <f t="shared" si="11"/>
        <v>10400</v>
      </c>
      <c r="M104" s="49">
        <v>0</v>
      </c>
      <c r="N104" s="49">
        <f t="shared" si="12"/>
        <v>10400</v>
      </c>
      <c r="O104" s="53">
        <f t="shared" si="13"/>
        <v>0</v>
      </c>
      <c r="P104" s="87"/>
      <c r="Q104" s="58"/>
    </row>
    <row r="105" spans="1:17">
      <c r="A105" s="24">
        <v>329</v>
      </c>
      <c r="B105" s="20" t="s">
        <v>85</v>
      </c>
      <c r="C105" s="33">
        <v>10500</v>
      </c>
      <c r="D105" s="152"/>
      <c r="E105" s="152"/>
      <c r="F105" s="152"/>
      <c r="G105" s="152"/>
      <c r="H105" s="152">
        <v>2750</v>
      </c>
      <c r="I105" s="152"/>
      <c r="J105" s="152"/>
      <c r="K105" s="152"/>
      <c r="L105" s="33">
        <f t="shared" si="11"/>
        <v>13250</v>
      </c>
      <c r="M105" s="49">
        <v>5995</v>
      </c>
      <c r="N105" s="49">
        <f t="shared" si="12"/>
        <v>7255</v>
      </c>
      <c r="O105" s="53">
        <f t="shared" si="13"/>
        <v>1.4991380743776238E-3</v>
      </c>
      <c r="P105" s="87"/>
      <c r="Q105" s="58"/>
    </row>
    <row r="106" spans="1:17">
      <c r="A106" s="24">
        <v>332</v>
      </c>
      <c r="B106" s="20" t="s">
        <v>140</v>
      </c>
      <c r="C106" s="33">
        <v>2388358.86</v>
      </c>
      <c r="D106" s="152"/>
      <c r="E106" s="152"/>
      <c r="F106" s="152"/>
      <c r="G106" s="152"/>
      <c r="H106" s="152"/>
      <c r="I106" s="152"/>
      <c r="J106" s="152"/>
      <c r="K106" s="152"/>
      <c r="L106" s="33">
        <f t="shared" si="11"/>
        <v>2388358.86</v>
      </c>
      <c r="M106" s="49">
        <v>0</v>
      </c>
      <c r="N106" s="49">
        <f t="shared" si="12"/>
        <v>2388358.86</v>
      </c>
      <c r="O106" s="53">
        <f t="shared" si="13"/>
        <v>0</v>
      </c>
      <c r="P106" s="87"/>
      <c r="Q106" s="58"/>
    </row>
    <row r="107" spans="1:17">
      <c r="A107" s="23">
        <v>4</v>
      </c>
      <c r="B107" s="23" t="s">
        <v>12</v>
      </c>
      <c r="C107" s="33"/>
      <c r="D107" s="152"/>
      <c r="E107" s="152"/>
      <c r="F107" s="152"/>
      <c r="G107" s="152"/>
      <c r="H107" s="152"/>
      <c r="I107" s="152"/>
      <c r="J107" s="152"/>
      <c r="K107" s="152"/>
      <c r="L107" s="33"/>
      <c r="M107" s="81"/>
      <c r="N107" s="49"/>
      <c r="O107" s="53"/>
      <c r="P107" s="87"/>
      <c r="Q107" s="58"/>
    </row>
    <row r="108" spans="1:17">
      <c r="A108" s="25">
        <v>413</v>
      </c>
      <c r="B108" s="26" t="s">
        <v>72</v>
      </c>
      <c r="C108" s="33">
        <v>20750</v>
      </c>
      <c r="D108" s="152"/>
      <c r="E108" s="152"/>
      <c r="F108" s="152"/>
      <c r="G108" s="152"/>
      <c r="H108" s="152"/>
      <c r="I108" s="152"/>
      <c r="J108" s="152"/>
      <c r="K108" s="152"/>
      <c r="L108" s="33">
        <f t="shared" si="11"/>
        <v>20750</v>
      </c>
      <c r="M108" s="49">
        <v>0</v>
      </c>
      <c r="N108" s="49">
        <f t="shared" ref="N108:N112" si="14">L108-M108</f>
        <v>20750</v>
      </c>
      <c r="O108" s="53">
        <f>M108/$M$114</f>
        <v>0</v>
      </c>
      <c r="P108" s="87"/>
      <c r="Q108" s="58"/>
    </row>
    <row r="109" spans="1:17">
      <c r="A109" s="25">
        <v>415</v>
      </c>
      <c r="B109" s="26" t="s">
        <v>73</v>
      </c>
      <c r="C109" s="33">
        <v>7600</v>
      </c>
      <c r="D109" s="152"/>
      <c r="E109" s="152"/>
      <c r="F109" s="152"/>
      <c r="G109" s="152"/>
      <c r="H109" s="152"/>
      <c r="I109" s="152"/>
      <c r="J109" s="152"/>
      <c r="K109" s="152"/>
      <c r="L109" s="33">
        <f t="shared" si="11"/>
        <v>7600</v>
      </c>
      <c r="M109" s="49">
        <v>0</v>
      </c>
      <c r="N109" s="49">
        <f t="shared" si="14"/>
        <v>7600</v>
      </c>
      <c r="O109" s="53">
        <f>M109/$M$114</f>
        <v>0</v>
      </c>
      <c r="P109" s="87"/>
      <c r="Q109" s="58"/>
    </row>
    <row r="110" spans="1:17">
      <c r="A110" s="25">
        <v>419</v>
      </c>
      <c r="B110" s="26" t="s">
        <v>74</v>
      </c>
      <c r="C110" s="33">
        <v>19200</v>
      </c>
      <c r="D110" s="152"/>
      <c r="E110" s="152"/>
      <c r="F110" s="152"/>
      <c r="G110" s="152"/>
      <c r="H110" s="152"/>
      <c r="I110" s="152"/>
      <c r="J110" s="152"/>
      <c r="K110" s="152"/>
      <c r="L110" s="33">
        <f t="shared" si="11"/>
        <v>19200</v>
      </c>
      <c r="M110" s="49">
        <v>12600</v>
      </c>
      <c r="N110" s="49">
        <f t="shared" si="14"/>
        <v>6600</v>
      </c>
      <c r="O110" s="53">
        <f>M110/$M$114</f>
        <v>3.1508156358895844E-3</v>
      </c>
      <c r="P110" s="87"/>
      <c r="Q110" s="58"/>
    </row>
    <row r="111" spans="1:17">
      <c r="A111" s="25">
        <v>453</v>
      </c>
      <c r="B111" s="26" t="s">
        <v>75</v>
      </c>
      <c r="C111" s="33">
        <v>255000</v>
      </c>
      <c r="D111" s="152"/>
      <c r="E111" s="152"/>
      <c r="F111" s="152"/>
      <c r="G111" s="152">
        <v>50000</v>
      </c>
      <c r="H111" s="152"/>
      <c r="I111" s="152"/>
      <c r="J111" s="152">
        <v>92600</v>
      </c>
      <c r="K111" s="152"/>
      <c r="L111" s="33">
        <f t="shared" si="11"/>
        <v>297600</v>
      </c>
      <c r="M111" s="49">
        <v>112909.51999999999</v>
      </c>
      <c r="N111" s="49">
        <f t="shared" si="14"/>
        <v>184690.48</v>
      </c>
      <c r="O111" s="53">
        <f>M111/$M$114</f>
        <v>2.8234688972760932E-2</v>
      </c>
      <c r="P111" s="87"/>
      <c r="Q111" s="58"/>
    </row>
    <row r="112" spans="1:17">
      <c r="A112" s="25">
        <v>472</v>
      </c>
      <c r="B112" s="26" t="s">
        <v>105</v>
      </c>
      <c r="C112" s="33">
        <v>8200</v>
      </c>
      <c r="D112" s="152">
        <v>12000</v>
      </c>
      <c r="E112" s="152"/>
      <c r="F112" s="152"/>
      <c r="G112" s="152"/>
      <c r="H112" s="152"/>
      <c r="I112" s="152"/>
      <c r="J112" s="152"/>
      <c r="K112" s="152"/>
      <c r="L112" s="33">
        <f t="shared" si="11"/>
        <v>20200</v>
      </c>
      <c r="M112" s="49">
        <v>4628.7699999999995</v>
      </c>
      <c r="N112" s="49">
        <f t="shared" si="14"/>
        <v>15571.23</v>
      </c>
      <c r="O112" s="53">
        <f>M112/$M$114</f>
        <v>1.15749213420132E-3</v>
      </c>
      <c r="P112" s="87"/>
      <c r="Q112" s="58"/>
    </row>
    <row r="113" spans="1:17" ht="20.25" customHeight="1" thickBot="1">
      <c r="A113" s="22"/>
      <c r="B113" s="64"/>
      <c r="C113" s="18"/>
      <c r="D113" s="152"/>
      <c r="E113" s="152"/>
      <c r="F113" s="154"/>
      <c r="G113" s="154"/>
      <c r="H113" s="154"/>
      <c r="I113" s="154"/>
      <c r="J113" s="154"/>
      <c r="K113" s="154"/>
      <c r="L113" s="18"/>
      <c r="M113" s="84"/>
      <c r="N113" s="50"/>
      <c r="O113" s="53"/>
      <c r="Q113" s="58"/>
    </row>
    <row r="114" spans="1:17" ht="20.25" customHeight="1" thickBot="1">
      <c r="A114" s="65"/>
      <c r="B114" s="8" t="s">
        <v>7</v>
      </c>
      <c r="C114" s="94">
        <f>SUM(C21:C113)</f>
        <v>10577202.25</v>
      </c>
      <c r="D114" s="156">
        <f>SUM(D21:D113)</f>
        <v>280000</v>
      </c>
      <c r="E114" s="156">
        <f>SUM(E21:E113)</f>
        <v>280000</v>
      </c>
      <c r="F114" s="156">
        <f t="shared" ref="F114:K114" si="15">SUM(F21:F113)</f>
        <v>287200</v>
      </c>
      <c r="G114" s="156">
        <f t="shared" si="15"/>
        <v>287200</v>
      </c>
      <c r="H114" s="156">
        <f t="shared" ref="H114:I114" si="16">SUM(H21:H113)</f>
        <v>136000</v>
      </c>
      <c r="I114" s="156">
        <f t="shared" si="16"/>
        <v>136000</v>
      </c>
      <c r="J114" s="156">
        <f t="shared" si="15"/>
        <v>104350</v>
      </c>
      <c r="K114" s="156">
        <f t="shared" si="15"/>
        <v>104350</v>
      </c>
      <c r="L114" s="97">
        <f>ROUND((SUM(L21:L113)),2)</f>
        <v>10577202.25</v>
      </c>
      <c r="M114" s="97">
        <f>ROUND((SUM(M21:M113)),2)</f>
        <v>3998964.54</v>
      </c>
      <c r="N114" s="97">
        <f>ROUND((SUM(N21:N113)),2)</f>
        <v>6578237.71</v>
      </c>
      <c r="O114" s="98">
        <f>M114/M114</f>
        <v>1</v>
      </c>
      <c r="Q114" s="58"/>
    </row>
    <row r="115" spans="1:17" ht="20.25" customHeight="1" thickBot="1">
      <c r="A115" s="66"/>
      <c r="B115" s="13"/>
      <c r="C115" s="14"/>
      <c r="D115" s="14"/>
      <c r="E115" s="14"/>
      <c r="F115" s="14"/>
      <c r="G115" s="27"/>
      <c r="H115" s="27"/>
      <c r="I115" s="14"/>
      <c r="J115" s="27"/>
      <c r="K115" s="14"/>
      <c r="L115" s="14"/>
      <c r="M115" s="85"/>
      <c r="N115" s="14"/>
      <c r="O115" s="15"/>
      <c r="Q115" s="58"/>
    </row>
    <row r="116" spans="1:17" ht="20.25" hidden="1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85"/>
      <c r="N116" s="14"/>
      <c r="O116" s="15"/>
      <c r="Q116" s="58"/>
    </row>
    <row r="117" spans="1:17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41"/>
      <c r="K117" s="41"/>
      <c r="L117" s="16"/>
      <c r="M117" s="86"/>
      <c r="N117" s="10"/>
      <c r="O117" s="11"/>
    </row>
    <row r="118" spans="1:17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41"/>
      <c r="K118" s="41"/>
      <c r="L118" s="16"/>
      <c r="M118" s="86"/>
      <c r="N118" s="10"/>
      <c r="O118" s="11"/>
    </row>
    <row r="119" spans="1:17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41"/>
      <c r="K119" s="41"/>
      <c r="L119" s="16"/>
      <c r="M119" s="86"/>
      <c r="N119" s="10"/>
      <c r="O119" s="11"/>
      <c r="Q119" s="3"/>
    </row>
    <row r="120" spans="1:17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41"/>
      <c r="K120" s="41"/>
      <c r="L120" s="16"/>
      <c r="M120" s="86"/>
      <c r="N120" s="10"/>
      <c r="O120" s="11"/>
    </row>
    <row r="121" spans="1:17" s="12" customFormat="1">
      <c r="A121" s="105" t="s">
        <v>108</v>
      </c>
      <c r="B121" s="35"/>
      <c r="C121" s="101"/>
      <c r="D121" s="9"/>
      <c r="E121" s="9"/>
      <c r="F121" s="41"/>
      <c r="G121" s="41"/>
      <c r="H121" s="41"/>
      <c r="I121" s="41"/>
      <c r="J121" s="41"/>
      <c r="K121" s="41"/>
      <c r="L121" s="16"/>
      <c r="M121" s="86"/>
      <c r="N121" s="137"/>
      <c r="O121" s="138"/>
    </row>
    <row r="122" spans="1:17" s="12" customFormat="1">
      <c r="A122" s="106" t="s">
        <v>136</v>
      </c>
      <c r="B122" s="36"/>
      <c r="C122" s="150">
        <v>656637.59</v>
      </c>
      <c r="D122" s="9"/>
      <c r="E122" s="9"/>
      <c r="F122" s="41"/>
      <c r="G122" s="41"/>
      <c r="H122" s="41"/>
      <c r="I122" s="41"/>
      <c r="J122" s="41"/>
      <c r="K122" s="41"/>
      <c r="L122" s="16"/>
      <c r="M122" s="86"/>
      <c r="N122" s="137"/>
      <c r="O122" s="138"/>
    </row>
    <row r="123" spans="1:17" s="12" customFormat="1">
      <c r="A123" s="106" t="s">
        <v>76</v>
      </c>
      <c r="B123" s="36"/>
      <c r="C123" s="150">
        <f>M18</f>
        <v>3906531.12</v>
      </c>
      <c r="D123" s="9"/>
      <c r="E123" s="9"/>
      <c r="F123" s="41"/>
      <c r="G123" s="41"/>
      <c r="H123" s="41"/>
      <c r="I123" s="41"/>
      <c r="J123" s="41"/>
      <c r="K123" s="41"/>
      <c r="L123" s="16"/>
      <c r="M123" s="86"/>
      <c r="N123" s="137"/>
      <c r="O123" s="138"/>
    </row>
    <row r="124" spans="1:17" s="12" customFormat="1">
      <c r="A124" s="106" t="s">
        <v>87</v>
      </c>
      <c r="B124" s="36"/>
      <c r="C124" s="122">
        <f>-M114</f>
        <v>-3998964.54</v>
      </c>
      <c r="D124" s="9"/>
      <c r="E124" s="9"/>
      <c r="F124" s="41"/>
      <c r="G124" s="41"/>
      <c r="H124" s="41"/>
      <c r="I124" s="41"/>
      <c r="J124" s="41"/>
      <c r="K124" s="41"/>
      <c r="L124" s="16"/>
      <c r="M124" s="86"/>
      <c r="N124" s="137"/>
      <c r="O124" s="138"/>
    </row>
    <row r="125" spans="1:17" s="12" customFormat="1" ht="18" customHeight="1">
      <c r="A125" s="107" t="s">
        <v>107</v>
      </c>
      <c r="B125" s="36"/>
      <c r="C125" s="171">
        <f>SUM(C122:C124)</f>
        <v>564204.16999999993</v>
      </c>
      <c r="D125" s="180"/>
      <c r="E125" s="165"/>
      <c r="F125" s="41"/>
      <c r="G125" s="41"/>
      <c r="H125" s="41"/>
      <c r="I125" s="41"/>
      <c r="J125" s="41"/>
      <c r="K125" s="41"/>
      <c r="L125" s="160"/>
      <c r="M125" s="86"/>
      <c r="N125" s="181"/>
      <c r="O125" s="182"/>
    </row>
    <row r="126" spans="1:17" s="130" customFormat="1">
      <c r="A126" s="125" t="s">
        <v>170</v>
      </c>
      <c r="B126" s="35"/>
      <c r="C126" s="151"/>
      <c r="D126" s="164"/>
      <c r="E126" s="165"/>
      <c r="F126" s="41"/>
      <c r="G126" s="41"/>
      <c r="H126" s="41"/>
      <c r="I126" s="41"/>
      <c r="J126" s="41"/>
      <c r="K126" s="41"/>
      <c r="L126" s="160"/>
      <c r="M126" s="86"/>
      <c r="N126" s="166"/>
      <c r="O126" s="136"/>
    </row>
    <row r="127" spans="1:17" s="130" customFormat="1">
      <c r="A127" s="131" t="s">
        <v>184</v>
      </c>
      <c r="B127" s="35"/>
      <c r="C127" s="167">
        <v>3025.29</v>
      </c>
      <c r="D127" s="164"/>
      <c r="E127" s="165"/>
      <c r="F127" s="41"/>
      <c r="G127" s="41"/>
      <c r="H127" s="41"/>
      <c r="I127" s="41"/>
      <c r="J127" s="41"/>
      <c r="K127" s="41"/>
      <c r="L127" s="160"/>
      <c r="M127" s="86"/>
      <c r="N127" s="166"/>
      <c r="O127" s="136"/>
    </row>
    <row r="128" spans="1:17" s="130" customFormat="1">
      <c r="A128" s="131" t="s">
        <v>185</v>
      </c>
      <c r="B128" s="36"/>
      <c r="C128" s="167">
        <v>219.61</v>
      </c>
      <c r="D128" s="164"/>
      <c r="E128" s="165"/>
      <c r="F128" s="41"/>
      <c r="G128" s="41"/>
      <c r="H128" s="41"/>
      <c r="I128" s="41"/>
      <c r="J128" s="41"/>
      <c r="K128" s="41"/>
      <c r="L128" s="160"/>
      <c r="M128" s="86"/>
      <c r="N128" s="166"/>
      <c r="O128" s="136"/>
    </row>
    <row r="129" spans="1:15" s="130" customFormat="1">
      <c r="A129" s="131" t="s">
        <v>186</v>
      </c>
      <c r="B129" s="36"/>
      <c r="C129" s="167">
        <v>2881.01</v>
      </c>
      <c r="D129" s="164"/>
      <c r="E129" s="164"/>
      <c r="F129" s="132"/>
      <c r="G129" s="48"/>
      <c r="H129" s="127"/>
      <c r="I129" s="141"/>
      <c r="J129" s="127"/>
      <c r="K129" s="141"/>
      <c r="L129" s="141"/>
      <c r="M129" s="141"/>
      <c r="N129" s="168"/>
    </row>
    <row r="130" spans="1:15" s="12" customFormat="1" ht="6.95" customHeight="1">
      <c r="A130" s="131"/>
      <c r="B130" s="36"/>
      <c r="C130" s="169"/>
      <c r="D130" s="165"/>
      <c r="E130" s="161"/>
      <c r="F130" s="132"/>
      <c r="G130" s="48"/>
      <c r="H130" s="41"/>
      <c r="I130" s="140"/>
      <c r="J130" s="41"/>
      <c r="K130" s="140"/>
      <c r="L130" s="140"/>
      <c r="M130" s="140"/>
      <c r="N130" s="170"/>
    </row>
    <row r="131" spans="1:15" s="130" customFormat="1">
      <c r="A131" s="131"/>
      <c r="B131" s="36"/>
      <c r="C131" s="171">
        <f>SUM(C127:C130)</f>
        <v>6125.91</v>
      </c>
      <c r="D131" s="164"/>
      <c r="E131" s="164"/>
      <c r="F131" s="132"/>
      <c r="G131" s="48"/>
      <c r="H131" s="127"/>
      <c r="I131" s="141"/>
      <c r="J131" s="127"/>
      <c r="K131" s="141"/>
      <c r="L131" s="141"/>
      <c r="M131" s="141"/>
      <c r="N131" s="168"/>
    </row>
    <row r="132" spans="1:15" s="130" customFormat="1" ht="6.95" customHeight="1">
      <c r="A132" s="131"/>
      <c r="B132" s="36"/>
      <c r="C132" s="172"/>
      <c r="D132" s="164"/>
      <c r="E132" s="164"/>
      <c r="F132" s="41"/>
      <c r="G132" s="41"/>
      <c r="H132" s="127"/>
      <c r="I132" s="141"/>
      <c r="J132" s="127"/>
      <c r="K132" s="141"/>
      <c r="L132" s="141"/>
      <c r="M132" s="141"/>
      <c r="N132" s="168"/>
    </row>
    <row r="133" spans="1:15" s="130" customFormat="1" ht="6.95" customHeight="1">
      <c r="A133" s="131"/>
      <c r="B133" s="36"/>
      <c r="C133" s="173"/>
      <c r="D133" s="164"/>
      <c r="E133" s="164"/>
      <c r="F133" s="41"/>
      <c r="G133" s="41"/>
      <c r="H133" s="127"/>
      <c r="I133" s="141"/>
      <c r="J133" s="127"/>
      <c r="K133" s="141"/>
      <c r="L133" s="141"/>
      <c r="M133" s="141"/>
      <c r="N133" s="168"/>
    </row>
    <row r="134" spans="1:15" s="130" customFormat="1" ht="18.75" thickBot="1">
      <c r="A134" s="133" t="s">
        <v>188</v>
      </c>
      <c r="B134" s="39"/>
      <c r="C134" s="174">
        <f>C125+C131</f>
        <v>570330.07999999996</v>
      </c>
      <c r="D134" s="134"/>
      <c r="F134" s="41"/>
      <c r="G134" s="41"/>
      <c r="H134" s="127"/>
      <c r="I134" s="175"/>
      <c r="J134" s="127"/>
      <c r="K134" s="175"/>
      <c r="L134" s="165"/>
      <c r="M134" s="176"/>
      <c r="N134" s="168"/>
    </row>
    <row r="135" spans="1:15" s="130" customFormat="1" ht="6.95" customHeight="1" thickTop="1" thickBot="1">
      <c r="A135" s="135"/>
      <c r="B135" s="38"/>
      <c r="C135" s="177"/>
      <c r="D135" s="134"/>
      <c r="F135" s="41"/>
      <c r="G135" s="41"/>
      <c r="H135" s="127"/>
      <c r="I135" s="175"/>
      <c r="J135" s="127"/>
      <c r="K135" s="175"/>
      <c r="L135" s="165"/>
      <c r="M135" s="176"/>
      <c r="N135" s="168"/>
    </row>
    <row r="136" spans="1:15">
      <c r="A136" s="158"/>
      <c r="B136" s="158"/>
      <c r="C136" s="178"/>
      <c r="D136" s="69"/>
    </row>
    <row r="137" spans="1:15">
      <c r="A137" s="157"/>
      <c r="B137" s="179" t="s">
        <v>189</v>
      </c>
      <c r="C137" s="178"/>
      <c r="D137" s="69"/>
      <c r="E137" s="161"/>
    </row>
    <row r="138" spans="1:15">
      <c r="A138" s="157"/>
      <c r="B138" s="158"/>
      <c r="D138" s="69"/>
    </row>
    <row r="139" spans="1:15">
      <c r="A139" s="157"/>
      <c r="B139" s="12"/>
      <c r="D139" s="69"/>
    </row>
    <row r="140" spans="1:15">
      <c r="A140" s="157"/>
      <c r="B140" s="12"/>
      <c r="D140" s="69"/>
    </row>
    <row r="141" spans="1:15">
      <c r="A141" s="157"/>
      <c r="B141" s="158"/>
    </row>
    <row r="142" spans="1:15">
      <c r="A142" s="159"/>
      <c r="B142" s="158"/>
      <c r="D142" s="160"/>
      <c r="E142" s="161"/>
      <c r="F142" s="161"/>
    </row>
    <row r="143" spans="1:15">
      <c r="A143" s="159"/>
      <c r="E143" s="161"/>
      <c r="F143" s="161"/>
    </row>
    <row r="144" spans="1:15" ht="18.75">
      <c r="A144" s="159"/>
      <c r="B144" s="47" t="s">
        <v>124</v>
      </c>
      <c r="D144" s="112" t="s">
        <v>138</v>
      </c>
      <c r="E144" s="47"/>
      <c r="F144" s="47"/>
      <c r="I144" s="113"/>
      <c r="K144" s="113" t="s">
        <v>127</v>
      </c>
      <c r="M144" s="88"/>
      <c r="N144" s="162"/>
      <c r="O144" s="47"/>
    </row>
    <row r="145" spans="1:15" s="115" customFormat="1" ht="15.75">
      <c r="A145" s="163"/>
      <c r="B145" s="56" t="s">
        <v>125</v>
      </c>
      <c r="D145" s="116" t="s">
        <v>126</v>
      </c>
      <c r="E145" s="56"/>
      <c r="F145" s="56"/>
      <c r="I145" s="117"/>
      <c r="K145" s="117" t="s">
        <v>123</v>
      </c>
      <c r="M145" s="118"/>
      <c r="N145" s="56"/>
      <c r="O145" s="56"/>
    </row>
    <row r="146" spans="1:15" ht="18.75">
      <c r="A146" s="159"/>
      <c r="B146" s="47"/>
      <c r="C146" s="47"/>
      <c r="D146" s="162"/>
      <c r="E146" s="47"/>
      <c r="F146" s="47"/>
      <c r="G146" s="47"/>
      <c r="H146" s="47"/>
      <c r="I146" s="162"/>
      <c r="J146" s="47"/>
      <c r="K146" s="162"/>
      <c r="L146" s="47"/>
      <c r="M146" s="88"/>
      <c r="N146" s="47"/>
      <c r="O146" s="47"/>
    </row>
    <row r="147" spans="1:15" ht="18.75">
      <c r="A147" s="159"/>
      <c r="B147" s="47"/>
      <c r="C147" s="47"/>
      <c r="D147" s="47"/>
      <c r="F147" s="47"/>
      <c r="G147" s="47"/>
      <c r="H147" s="47"/>
      <c r="I147" s="112"/>
      <c r="J147" s="47"/>
      <c r="K147" s="112"/>
      <c r="L147" s="47"/>
      <c r="M147" s="88"/>
      <c r="O147" s="47"/>
    </row>
  </sheetData>
  <mergeCells count="3">
    <mergeCell ref="A6:A7"/>
    <mergeCell ref="B6:B7"/>
    <mergeCell ref="M6:M7"/>
  </mergeCells>
  <printOptions horizontalCentered="1"/>
  <pageMargins left="0" right="0" top="0.78740157480314965" bottom="1.1811023622047245" header="0.31496062992125984" footer="0.31496062992125984"/>
  <pageSetup scale="52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showGridLines="0" tabSelected="1" zoomScale="75" zoomScaleNormal="75" workbookViewId="0">
      <selection activeCell="B13" sqref="B13"/>
    </sheetView>
  </sheetViews>
  <sheetFormatPr baseColWidth="10" defaultColWidth="11.42578125" defaultRowHeight="18"/>
  <cols>
    <col min="1" max="1" width="9.7109375" style="3" customWidth="1"/>
    <col min="2" max="2" width="59.7109375" style="3" customWidth="1"/>
    <col min="3" max="3" width="18.42578125" style="3" customWidth="1"/>
    <col min="4" max="11" width="15.28515625" style="3" customWidth="1"/>
    <col min="12" max="12" width="18.42578125" style="3" customWidth="1"/>
    <col min="13" max="13" width="17.7109375" style="87" customWidth="1"/>
    <col min="14" max="14" width="17.7109375" style="3" customWidth="1"/>
    <col min="15" max="15" width="12.7109375" style="3" customWidth="1"/>
    <col min="16" max="16" width="7" style="3" customWidth="1"/>
    <col min="17" max="17" width="18.7109375" style="3" customWidth="1"/>
    <col min="18" max="18" width="15.42578125" style="3" bestFit="1" customWidth="1"/>
    <col min="19" max="16384" width="11.42578125" style="3"/>
  </cols>
  <sheetData>
    <row r="1" spans="1:17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80"/>
      <c r="N1" s="42"/>
      <c r="O1" s="42"/>
    </row>
    <row r="2" spans="1:17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80"/>
      <c r="N2" s="42"/>
      <c r="O2" s="42"/>
    </row>
    <row r="3" spans="1:17">
      <c r="A3" s="42" t="s">
        <v>192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80"/>
      <c r="N3" s="42"/>
      <c r="O3" s="42"/>
    </row>
    <row r="4" spans="1:17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80"/>
      <c r="N4" s="42"/>
      <c r="O4" s="42"/>
    </row>
    <row r="5" spans="1:17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80"/>
      <c r="N5" s="42"/>
      <c r="O5" s="42"/>
    </row>
    <row r="6" spans="1:17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89" t="s">
        <v>191</v>
      </c>
      <c r="K6" s="89"/>
      <c r="L6" s="1" t="s">
        <v>1</v>
      </c>
      <c r="M6" s="188" t="s">
        <v>2</v>
      </c>
      <c r="N6" s="2" t="s">
        <v>27</v>
      </c>
      <c r="O6" s="1" t="s">
        <v>29</v>
      </c>
    </row>
    <row r="7" spans="1:17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5" t="s">
        <v>121</v>
      </c>
      <c r="K7" s="5" t="s">
        <v>122</v>
      </c>
      <c r="L7" s="4" t="s">
        <v>4</v>
      </c>
      <c r="M7" s="189"/>
      <c r="N7" s="6" t="s">
        <v>28</v>
      </c>
      <c r="O7" s="7" t="s">
        <v>30</v>
      </c>
    </row>
    <row r="8" spans="1:17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81"/>
      <c r="N8" s="74"/>
      <c r="O8" s="43"/>
    </row>
    <row r="9" spans="1:17">
      <c r="A9" s="78"/>
      <c r="B9" s="79"/>
      <c r="C9" s="43"/>
      <c r="D9" s="43"/>
      <c r="E9" s="43"/>
      <c r="F9" s="43"/>
      <c r="G9" s="43"/>
      <c r="H9" s="43"/>
      <c r="I9" s="43"/>
      <c r="J9" s="43"/>
      <c r="K9" s="43"/>
      <c r="L9" s="43"/>
      <c r="M9" s="81"/>
      <c r="N9" s="74"/>
      <c r="O9" s="43"/>
      <c r="Q9" s="58"/>
    </row>
    <row r="10" spans="1:17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20"/>
      <c r="K10" s="20"/>
      <c r="L10" s="33">
        <f t="shared" ref="L10:L17" si="0">C10+D10-E10+F10-G10+J10-K10</f>
        <v>656637.59</v>
      </c>
      <c r="M10" s="49">
        <v>0</v>
      </c>
      <c r="N10" s="74">
        <f t="shared" ref="N10:N15" si="1">L10-M10+K10</f>
        <v>656637.59</v>
      </c>
      <c r="O10" s="57">
        <f>M10/M18</f>
        <v>0</v>
      </c>
      <c r="Q10" s="58"/>
    </row>
    <row r="11" spans="1:17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18"/>
      <c r="K11" s="18"/>
      <c r="L11" s="33">
        <f t="shared" si="0"/>
        <v>90000</v>
      </c>
      <c r="M11" s="49">
        <f>6885+7250+5010+5735+2005+6610+400+7470+800+3895+935+2335+600+2438+805+2809+1200+1914+200+1508+250+200+992+2750</f>
        <v>64996</v>
      </c>
      <c r="N11" s="72">
        <f t="shared" si="1"/>
        <v>25004</v>
      </c>
      <c r="O11" s="57">
        <f>M11/M18</f>
        <v>1.5377082516326263E-2</v>
      </c>
      <c r="Q11" s="58"/>
    </row>
    <row r="12" spans="1:17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18"/>
      <c r="K12" s="18"/>
      <c r="L12" s="33">
        <f t="shared" si="0"/>
        <v>4000</v>
      </c>
      <c r="M12" s="49">
        <f>154.29+74.21+47.84+63.83+246.6+43.51+44.38+83.46+31.93+32.43+34.29+64.36</f>
        <v>921.12999999999988</v>
      </c>
      <c r="N12" s="72">
        <f t="shared" si="1"/>
        <v>3078.87</v>
      </c>
      <c r="O12" s="57">
        <f>M12/M18</f>
        <v>2.1792559570225258E-4</v>
      </c>
      <c r="Q12" s="58"/>
    </row>
    <row r="13" spans="1:17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18"/>
      <c r="K13" s="18"/>
      <c r="L13" s="33">
        <f t="shared" si="0"/>
        <v>2345924.88</v>
      </c>
      <c r="M13" s="49">
        <f>195493.74+40518.88+404398.5+199964.08+198363.1+3864.56+199964.08+228755.24+228755.24+199964.08+199964.08+344720.39+198363.1</f>
        <v>2643089.0700000003</v>
      </c>
      <c r="N13" s="72">
        <f t="shared" si="1"/>
        <v>-297164.19000000041</v>
      </c>
      <c r="O13" s="57">
        <f>M13/M18</f>
        <v>0.62531538444504353</v>
      </c>
      <c r="Q13" s="58"/>
    </row>
    <row r="14" spans="1:17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18"/>
      <c r="K14" s="18"/>
      <c r="L14" s="33">
        <f t="shared" si="0"/>
        <v>4496358.8600000003</v>
      </c>
      <c r="M14" s="49">
        <v>0</v>
      </c>
      <c r="N14" s="72">
        <f t="shared" si="1"/>
        <v>4496358.8600000003</v>
      </c>
      <c r="O14" s="57">
        <f>M14/M18</f>
        <v>0</v>
      </c>
      <c r="Q14" s="58"/>
    </row>
    <row r="15" spans="1:17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18"/>
      <c r="K15" s="18"/>
      <c r="L15" s="33">
        <f t="shared" si="0"/>
        <v>2969280.92</v>
      </c>
      <c r="M15" s="49">
        <f>174488.09+436428.77+714931.38+46144.8+35496.86+19055.4+27315.53+13360.95+17442.43+4360-113071.83+121851.02</f>
        <v>1497803.4</v>
      </c>
      <c r="N15" s="74">
        <f t="shared" si="1"/>
        <v>1471477.52</v>
      </c>
      <c r="O15" s="57">
        <v>0</v>
      </c>
      <c r="Q15" s="58"/>
    </row>
    <row r="16" spans="1:17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18"/>
      <c r="K16" s="18"/>
      <c r="L16" s="33">
        <f>C16+D16-E16+F16-G16+J16-K16</f>
        <v>15000</v>
      </c>
      <c r="M16" s="49">
        <v>20000</v>
      </c>
      <c r="N16" s="74">
        <f>L16-M16+K16</f>
        <v>-5000</v>
      </c>
      <c r="O16" s="57">
        <v>0</v>
      </c>
      <c r="Q16" s="58"/>
    </row>
    <row r="17" spans="1:17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52"/>
      <c r="K17" s="52"/>
      <c r="L17" s="33">
        <f t="shared" si="0"/>
        <v>0</v>
      </c>
      <c r="M17" s="49">
        <v>0</v>
      </c>
      <c r="N17" s="75">
        <f>-M17+K17</f>
        <v>0</v>
      </c>
      <c r="O17" s="61">
        <f>M17/M18</f>
        <v>0</v>
      </c>
      <c r="Q17" s="58"/>
    </row>
    <row r="18" spans="1:17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3"/>
      <c r="K18" s="93">
        <f>SUM(K10:K17)</f>
        <v>0</v>
      </c>
      <c r="L18" s="95">
        <f>ROUND((SUM(L10:L17)),2)</f>
        <v>10577202.25</v>
      </c>
      <c r="M18" s="95">
        <f>ROUND((SUM(M10:M17)),2)</f>
        <v>4226809.5999999996</v>
      </c>
      <c r="N18" s="95">
        <f>ROUND((SUM(N10:N17)),2)</f>
        <v>6350392.6500000004</v>
      </c>
      <c r="O18" s="96">
        <f>SUM(O17:O17)</f>
        <v>0</v>
      </c>
      <c r="Q18" s="58"/>
    </row>
    <row r="19" spans="1:17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43"/>
      <c r="L19" s="43"/>
      <c r="M19" s="82"/>
      <c r="N19" s="43"/>
      <c r="O19" s="43"/>
      <c r="Q19" s="58"/>
    </row>
    <row r="20" spans="1:17">
      <c r="A20" s="187" t="s">
        <v>5</v>
      </c>
      <c r="B20" s="79" t="s">
        <v>102</v>
      </c>
      <c r="C20" s="43"/>
      <c r="D20" s="152"/>
      <c r="E20" s="152"/>
      <c r="F20" s="152"/>
      <c r="G20" s="152"/>
      <c r="H20" s="152"/>
      <c r="I20" s="152"/>
      <c r="J20" s="152"/>
      <c r="K20" s="152"/>
      <c r="L20" s="43"/>
      <c r="M20" s="82"/>
      <c r="N20" s="43"/>
      <c r="O20" s="43"/>
      <c r="Q20" s="58"/>
    </row>
    <row r="21" spans="1:17">
      <c r="A21" s="23">
        <v>0</v>
      </c>
      <c r="B21" s="23" t="s">
        <v>9</v>
      </c>
      <c r="C21" s="33"/>
      <c r="D21" s="152"/>
      <c r="E21" s="152"/>
      <c r="F21" s="152"/>
      <c r="G21" s="152"/>
      <c r="H21" s="152"/>
      <c r="I21" s="152"/>
      <c r="J21" s="152"/>
      <c r="K21" s="152"/>
      <c r="L21" s="33"/>
      <c r="M21" s="81"/>
      <c r="N21" s="49"/>
      <c r="O21" s="53"/>
      <c r="Q21" s="58"/>
    </row>
    <row r="22" spans="1:17">
      <c r="A22" s="19" t="s">
        <v>13</v>
      </c>
      <c r="B22" s="20" t="s">
        <v>79</v>
      </c>
      <c r="C22" s="33">
        <v>669886</v>
      </c>
      <c r="D22" s="152"/>
      <c r="E22" s="152"/>
      <c r="F22" s="152"/>
      <c r="G22" s="152"/>
      <c r="H22" s="152">
        <v>7500</v>
      </c>
      <c r="I22" s="152"/>
      <c r="J22" s="152">
        <v>5000</v>
      </c>
      <c r="K22" s="152"/>
      <c r="L22" s="33">
        <f t="shared" ref="L22:L33" si="2">C22+D22-E22+F22-G22+H22-I22+J22-K22</f>
        <v>682386</v>
      </c>
      <c r="M22" s="49">
        <v>655966.56000000006</v>
      </c>
      <c r="N22" s="49">
        <f>L22-M22</f>
        <v>26419.439999999944</v>
      </c>
      <c r="O22" s="53">
        <f t="shared" ref="O22:O33" si="3">M22/$M$114</f>
        <v>0.15307927339617841</v>
      </c>
      <c r="P22" s="87"/>
      <c r="Q22" s="58"/>
    </row>
    <row r="23" spans="1:17">
      <c r="A23" s="19" t="s">
        <v>31</v>
      </c>
      <c r="B23" s="20" t="s">
        <v>32</v>
      </c>
      <c r="C23" s="33">
        <v>4500</v>
      </c>
      <c r="D23" s="152"/>
      <c r="E23" s="152"/>
      <c r="F23" s="152"/>
      <c r="G23" s="152"/>
      <c r="H23" s="152"/>
      <c r="I23" s="152"/>
      <c r="J23" s="152"/>
      <c r="K23" s="152"/>
      <c r="L23" s="33">
        <f t="shared" si="2"/>
        <v>4500</v>
      </c>
      <c r="M23" s="49">
        <v>4500</v>
      </c>
      <c r="N23" s="49">
        <f t="shared" ref="N23:N69" si="4">L23-M23</f>
        <v>0</v>
      </c>
      <c r="O23" s="53">
        <f t="shared" si="3"/>
        <v>1.050140010617009E-3</v>
      </c>
      <c r="P23" s="87"/>
      <c r="Q23" s="58"/>
    </row>
    <row r="24" spans="1:17">
      <c r="A24" s="19" t="s">
        <v>14</v>
      </c>
      <c r="B24" s="20" t="s">
        <v>38</v>
      </c>
      <c r="C24" s="33">
        <v>112250</v>
      </c>
      <c r="D24" s="152"/>
      <c r="E24" s="152"/>
      <c r="F24" s="152"/>
      <c r="G24" s="152"/>
      <c r="H24" s="152">
        <v>1150</v>
      </c>
      <c r="I24" s="152"/>
      <c r="J24" s="152">
        <v>1000</v>
      </c>
      <c r="K24" s="152"/>
      <c r="L24" s="33">
        <f t="shared" si="2"/>
        <v>114400</v>
      </c>
      <c r="M24" s="49">
        <v>110796.67</v>
      </c>
      <c r="N24" s="49">
        <f t="shared" si="4"/>
        <v>3603.3300000000017</v>
      </c>
      <c r="O24" s="53">
        <f t="shared" si="3"/>
        <v>2.5856003602250942E-2</v>
      </c>
      <c r="P24" s="87"/>
      <c r="Q24" s="58"/>
    </row>
    <row r="25" spans="1:17" hidden="1">
      <c r="A25" s="19" t="s">
        <v>114</v>
      </c>
      <c r="B25" s="20" t="s">
        <v>115</v>
      </c>
      <c r="C25" s="33"/>
      <c r="D25" s="152"/>
      <c r="E25" s="152"/>
      <c r="F25" s="152"/>
      <c r="G25" s="152"/>
      <c r="H25" s="152"/>
      <c r="I25" s="152"/>
      <c r="J25" s="152"/>
      <c r="K25" s="152"/>
      <c r="L25" s="33">
        <f t="shared" si="2"/>
        <v>0</v>
      </c>
      <c r="M25" s="49"/>
      <c r="N25" s="49">
        <f t="shared" si="4"/>
        <v>0</v>
      </c>
      <c r="O25" s="53">
        <f t="shared" si="3"/>
        <v>0</v>
      </c>
      <c r="P25" s="87"/>
      <c r="Q25" s="58"/>
    </row>
    <row r="26" spans="1:17">
      <c r="A26" s="19" t="s">
        <v>116</v>
      </c>
      <c r="B26" s="20" t="s">
        <v>117</v>
      </c>
      <c r="C26" s="33">
        <v>0</v>
      </c>
      <c r="D26" s="152"/>
      <c r="E26" s="152"/>
      <c r="F26" s="152"/>
      <c r="G26" s="152"/>
      <c r="H26" s="152"/>
      <c r="I26" s="152"/>
      <c r="J26" s="152"/>
      <c r="K26" s="152"/>
      <c r="L26" s="33">
        <f t="shared" si="2"/>
        <v>0</v>
      </c>
      <c r="M26" s="49">
        <v>0</v>
      </c>
      <c r="N26" s="49">
        <f t="shared" si="4"/>
        <v>0</v>
      </c>
      <c r="O26" s="53">
        <f t="shared" si="3"/>
        <v>0</v>
      </c>
      <c r="P26" s="87"/>
      <c r="Q26" s="58"/>
    </row>
    <row r="27" spans="1:17">
      <c r="A27" s="19" t="s">
        <v>88</v>
      </c>
      <c r="B27" s="20" t="s">
        <v>89</v>
      </c>
      <c r="C27" s="33">
        <v>15400</v>
      </c>
      <c r="D27" s="152"/>
      <c r="E27" s="152"/>
      <c r="F27" s="152"/>
      <c r="G27" s="152"/>
      <c r="H27" s="152"/>
      <c r="I27" s="152"/>
      <c r="J27" s="152"/>
      <c r="K27" s="152"/>
      <c r="L27" s="33">
        <f t="shared" si="2"/>
        <v>15400</v>
      </c>
      <c r="M27" s="49">
        <v>5600</v>
      </c>
      <c r="N27" s="49">
        <f t="shared" si="4"/>
        <v>9800</v>
      </c>
      <c r="O27" s="53">
        <f t="shared" si="3"/>
        <v>1.3068409021011666E-3</v>
      </c>
      <c r="P27" s="87"/>
      <c r="Q27" s="58"/>
    </row>
    <row r="28" spans="1:17">
      <c r="A28" s="19" t="s">
        <v>20</v>
      </c>
      <c r="B28" s="20" t="s">
        <v>21</v>
      </c>
      <c r="C28" s="33">
        <v>31068.6</v>
      </c>
      <c r="D28" s="152"/>
      <c r="E28" s="152"/>
      <c r="F28" s="152"/>
      <c r="G28" s="152"/>
      <c r="H28" s="152"/>
      <c r="I28" s="152"/>
      <c r="J28" s="152">
        <v>5000</v>
      </c>
      <c r="K28" s="152"/>
      <c r="L28" s="33">
        <f t="shared" si="2"/>
        <v>36068.6</v>
      </c>
      <c r="M28" s="49">
        <v>35313.89</v>
      </c>
      <c r="N28" s="49">
        <f t="shared" si="4"/>
        <v>754.70999999999913</v>
      </c>
      <c r="O28" s="53">
        <f t="shared" si="3"/>
        <v>8.2410064043395292E-3</v>
      </c>
      <c r="P28" s="87"/>
      <c r="Q28" s="58"/>
    </row>
    <row r="29" spans="1:17">
      <c r="A29" s="19" t="s">
        <v>15</v>
      </c>
      <c r="B29" s="20" t="s">
        <v>110</v>
      </c>
      <c r="C29" s="33">
        <v>94901</v>
      </c>
      <c r="D29" s="152"/>
      <c r="E29" s="152"/>
      <c r="F29" s="152"/>
      <c r="G29" s="152"/>
      <c r="H29" s="152"/>
      <c r="I29" s="152"/>
      <c r="J29" s="152"/>
      <c r="K29" s="152"/>
      <c r="L29" s="33">
        <f t="shared" si="2"/>
        <v>94901</v>
      </c>
      <c r="M29" s="49">
        <v>73759.66</v>
      </c>
      <c r="N29" s="49">
        <f t="shared" si="4"/>
        <v>21141.339999999997</v>
      </c>
      <c r="O29" s="53">
        <f t="shared" si="3"/>
        <v>1.7212882252334884E-2</v>
      </c>
      <c r="P29" s="87"/>
      <c r="Q29" s="58"/>
    </row>
    <row r="30" spans="1:17">
      <c r="A30" s="19" t="s">
        <v>16</v>
      </c>
      <c r="B30" s="20" t="s">
        <v>111</v>
      </c>
      <c r="C30" s="33">
        <v>8132.05</v>
      </c>
      <c r="D30" s="152"/>
      <c r="E30" s="152"/>
      <c r="F30" s="152"/>
      <c r="G30" s="152"/>
      <c r="H30" s="152"/>
      <c r="I30" s="152"/>
      <c r="J30" s="152"/>
      <c r="K30" s="152"/>
      <c r="L30" s="33">
        <f t="shared" si="2"/>
        <v>8132.05</v>
      </c>
      <c r="M30" s="49">
        <v>6912.8200000000006</v>
      </c>
      <c r="N30" s="49">
        <f t="shared" si="4"/>
        <v>1219.2299999999996</v>
      </c>
      <c r="O30" s="53">
        <f t="shared" si="3"/>
        <v>1.6132064151541049E-3</v>
      </c>
      <c r="P30" s="87"/>
      <c r="Q30" s="58"/>
    </row>
    <row r="31" spans="1:17">
      <c r="A31" s="19" t="s">
        <v>17</v>
      </c>
      <c r="B31" s="21" t="s">
        <v>77</v>
      </c>
      <c r="C31" s="33">
        <v>59303</v>
      </c>
      <c r="D31" s="152"/>
      <c r="E31" s="152"/>
      <c r="F31" s="152"/>
      <c r="G31" s="152"/>
      <c r="H31" s="152">
        <v>730</v>
      </c>
      <c r="I31" s="152"/>
      <c r="J31" s="152"/>
      <c r="K31" s="152"/>
      <c r="L31" s="33">
        <f t="shared" si="2"/>
        <v>60033</v>
      </c>
      <c r="M31" s="49">
        <v>57027.409999999996</v>
      </c>
      <c r="N31" s="49">
        <f t="shared" si="4"/>
        <v>3005.5900000000038</v>
      </c>
      <c r="O31" s="53">
        <f t="shared" si="3"/>
        <v>1.3308169987302337E-2</v>
      </c>
      <c r="P31" s="87"/>
      <c r="Q31" s="58"/>
    </row>
    <row r="32" spans="1:17">
      <c r="A32" s="19" t="s">
        <v>18</v>
      </c>
      <c r="B32" s="20" t="s">
        <v>80</v>
      </c>
      <c r="C32" s="33">
        <v>59303</v>
      </c>
      <c r="D32" s="152"/>
      <c r="E32" s="152"/>
      <c r="F32" s="152"/>
      <c r="G32" s="152"/>
      <c r="H32" s="152"/>
      <c r="I32" s="152"/>
      <c r="J32" s="152"/>
      <c r="K32" s="152"/>
      <c r="L32" s="33">
        <f t="shared" si="2"/>
        <v>59303</v>
      </c>
      <c r="M32" s="49">
        <v>51031.86</v>
      </c>
      <c r="N32" s="49">
        <f t="shared" si="4"/>
        <v>8271.14</v>
      </c>
      <c r="O32" s="53">
        <f t="shared" si="3"/>
        <v>1.1909021778267937E-2</v>
      </c>
      <c r="P32" s="87"/>
      <c r="Q32" s="58"/>
    </row>
    <row r="33" spans="1:17">
      <c r="A33" s="19" t="s">
        <v>19</v>
      </c>
      <c r="B33" s="20" t="s">
        <v>78</v>
      </c>
      <c r="C33" s="33">
        <v>4000</v>
      </c>
      <c r="D33" s="152"/>
      <c r="E33" s="152"/>
      <c r="F33" s="152"/>
      <c r="G33" s="152"/>
      <c r="H33" s="152">
        <v>120</v>
      </c>
      <c r="I33" s="152"/>
      <c r="J33" s="152"/>
      <c r="K33" s="152"/>
      <c r="L33" s="33">
        <f t="shared" si="2"/>
        <v>4120</v>
      </c>
      <c r="M33" s="49">
        <v>4008.89</v>
      </c>
      <c r="N33" s="49">
        <f t="shared" si="4"/>
        <v>111.11000000000013</v>
      </c>
      <c r="O33" s="53">
        <f t="shared" si="3"/>
        <v>9.3553239714720465E-4</v>
      </c>
      <c r="P33" s="87"/>
      <c r="Q33" s="58"/>
    </row>
    <row r="34" spans="1:17">
      <c r="A34" s="19"/>
      <c r="B34" s="20"/>
      <c r="C34" s="33"/>
      <c r="D34" s="152"/>
      <c r="E34" s="152"/>
      <c r="F34" s="152"/>
      <c r="G34" s="152"/>
      <c r="H34" s="152"/>
      <c r="I34" s="152"/>
      <c r="J34" s="152"/>
      <c r="K34" s="152"/>
      <c r="L34" s="33"/>
      <c r="M34" s="81"/>
      <c r="N34" s="49"/>
      <c r="O34" s="53"/>
      <c r="P34" s="87"/>
      <c r="Q34" s="58"/>
    </row>
    <row r="35" spans="1:17">
      <c r="A35" s="23">
        <v>1</v>
      </c>
      <c r="B35" s="23" t="s">
        <v>10</v>
      </c>
      <c r="C35" s="33"/>
      <c r="D35" s="152"/>
      <c r="E35" s="152"/>
      <c r="F35" s="152"/>
      <c r="G35" s="152"/>
      <c r="H35" s="152"/>
      <c r="I35" s="152"/>
      <c r="J35" s="152"/>
      <c r="K35" s="152"/>
      <c r="L35" s="33"/>
      <c r="M35" s="83"/>
      <c r="N35" s="49"/>
      <c r="O35" s="53"/>
      <c r="P35" s="87"/>
      <c r="Q35" s="58"/>
    </row>
    <row r="36" spans="1:17">
      <c r="A36" s="24">
        <v>111</v>
      </c>
      <c r="B36" s="20" t="s">
        <v>39</v>
      </c>
      <c r="C36" s="33">
        <v>13125</v>
      </c>
      <c r="D36" s="152"/>
      <c r="E36" s="152"/>
      <c r="F36" s="152"/>
      <c r="G36" s="152"/>
      <c r="H36" s="152"/>
      <c r="I36" s="152"/>
      <c r="J36" s="152"/>
      <c r="K36" s="152"/>
      <c r="L36" s="33">
        <f t="shared" ref="L36:L69" si="5">C36+D36-E36+F36-G36+H36-I36+J36-K36</f>
        <v>13125</v>
      </c>
      <c r="M36" s="49">
        <v>8209.5499999999993</v>
      </c>
      <c r="N36" s="49">
        <f t="shared" si="4"/>
        <v>4915.4500000000007</v>
      </c>
      <c r="O36" s="53">
        <f t="shared" ref="O36:O69" si="6">M36/$M$114</f>
        <v>1.9158170942579699E-3</v>
      </c>
      <c r="P36" s="87"/>
      <c r="Q36" s="58"/>
    </row>
    <row r="37" spans="1:17">
      <c r="A37" s="24">
        <v>113</v>
      </c>
      <c r="B37" s="20" t="s">
        <v>48</v>
      </c>
      <c r="C37" s="33">
        <v>24780</v>
      </c>
      <c r="D37" s="152"/>
      <c r="E37" s="152"/>
      <c r="F37" s="152"/>
      <c r="G37" s="152"/>
      <c r="H37" s="152"/>
      <c r="I37" s="152"/>
      <c r="J37" s="152"/>
      <c r="K37" s="152"/>
      <c r="L37" s="33">
        <f t="shared" si="5"/>
        <v>24780</v>
      </c>
      <c r="M37" s="49">
        <v>20179</v>
      </c>
      <c r="N37" s="49">
        <f t="shared" si="4"/>
        <v>4601</v>
      </c>
      <c r="O37" s="53">
        <f t="shared" si="6"/>
        <v>4.7090611720534718E-3</v>
      </c>
      <c r="P37" s="87"/>
      <c r="Q37" s="58"/>
    </row>
    <row r="38" spans="1:17">
      <c r="A38" s="24">
        <v>114</v>
      </c>
      <c r="B38" s="20" t="s">
        <v>109</v>
      </c>
      <c r="C38" s="33">
        <v>2500</v>
      </c>
      <c r="D38" s="152"/>
      <c r="E38" s="152"/>
      <c r="F38" s="152"/>
      <c r="G38" s="152"/>
      <c r="H38" s="152"/>
      <c r="I38" s="152"/>
      <c r="J38" s="152"/>
      <c r="K38" s="152"/>
      <c r="L38" s="33">
        <f t="shared" si="5"/>
        <v>2500</v>
      </c>
      <c r="M38" s="49">
        <v>596.51</v>
      </c>
      <c r="N38" s="49">
        <f t="shared" si="4"/>
        <v>1903.49</v>
      </c>
      <c r="O38" s="53">
        <f t="shared" si="6"/>
        <v>1.3920422616292268E-4</v>
      </c>
      <c r="P38" s="87"/>
      <c r="Q38" s="58"/>
    </row>
    <row r="39" spans="1:17">
      <c r="A39" s="24">
        <v>121</v>
      </c>
      <c r="B39" s="20" t="s">
        <v>155</v>
      </c>
      <c r="C39" s="33">
        <v>12250</v>
      </c>
      <c r="D39" s="152"/>
      <c r="E39" s="152"/>
      <c r="F39" s="152"/>
      <c r="G39" s="152"/>
      <c r="H39" s="152"/>
      <c r="I39" s="152"/>
      <c r="J39" s="152"/>
      <c r="K39" s="152"/>
      <c r="L39" s="33">
        <f t="shared" si="5"/>
        <v>12250</v>
      </c>
      <c r="M39" s="49">
        <v>4291</v>
      </c>
      <c r="N39" s="49">
        <f t="shared" si="4"/>
        <v>7959</v>
      </c>
      <c r="O39" s="53">
        <f t="shared" si="6"/>
        <v>1.001366841235019E-3</v>
      </c>
      <c r="P39" s="87"/>
      <c r="Q39" s="58"/>
    </row>
    <row r="40" spans="1:17">
      <c r="A40" s="24">
        <v>122</v>
      </c>
      <c r="B40" s="20" t="s">
        <v>81</v>
      </c>
      <c r="C40" s="33">
        <v>29000</v>
      </c>
      <c r="D40" s="152"/>
      <c r="E40" s="152"/>
      <c r="F40" s="152"/>
      <c r="G40" s="152"/>
      <c r="H40" s="152"/>
      <c r="I40" s="152"/>
      <c r="J40" s="152"/>
      <c r="K40" s="152"/>
      <c r="L40" s="33">
        <f t="shared" si="5"/>
        <v>29000</v>
      </c>
      <c r="M40" s="49">
        <v>21369.5</v>
      </c>
      <c r="N40" s="49">
        <f t="shared" si="4"/>
        <v>7630.5</v>
      </c>
      <c r="O40" s="53">
        <f t="shared" si="6"/>
        <v>4.9868815459733718E-3</v>
      </c>
      <c r="P40" s="87"/>
      <c r="Q40" s="58"/>
    </row>
    <row r="41" spans="1:17">
      <c r="A41" s="24">
        <v>131</v>
      </c>
      <c r="B41" s="20" t="s">
        <v>51</v>
      </c>
      <c r="C41" s="33">
        <v>1251963.1500000001</v>
      </c>
      <c r="D41" s="155">
        <v>250000</v>
      </c>
      <c r="E41" s="152"/>
      <c r="F41" s="152"/>
      <c r="G41" s="152">
        <v>60000</v>
      </c>
      <c r="H41" s="152"/>
      <c r="I41" s="152"/>
      <c r="J41" s="152"/>
      <c r="K41" s="152">
        <v>61850</v>
      </c>
      <c r="L41" s="33">
        <f t="shared" si="5"/>
        <v>1380113.1500000001</v>
      </c>
      <c r="M41" s="49">
        <v>1299033.1199999999</v>
      </c>
      <c r="N41" s="49">
        <f t="shared" si="4"/>
        <v>81080.030000000261</v>
      </c>
      <c r="O41" s="53">
        <f t="shared" si="6"/>
        <v>0.30314814542858803</v>
      </c>
      <c r="P41" s="87"/>
      <c r="Q41" s="58"/>
    </row>
    <row r="42" spans="1:17">
      <c r="A42" s="24">
        <v>133</v>
      </c>
      <c r="B42" s="20" t="s">
        <v>52</v>
      </c>
      <c r="C42" s="33">
        <v>1500</v>
      </c>
      <c r="D42" s="152"/>
      <c r="E42" s="152"/>
      <c r="F42" s="152"/>
      <c r="G42" s="152"/>
      <c r="H42" s="152"/>
      <c r="I42" s="152"/>
      <c r="J42" s="152"/>
      <c r="K42" s="152"/>
      <c r="L42" s="33">
        <f t="shared" si="5"/>
        <v>1500</v>
      </c>
      <c r="M42" s="49">
        <v>0</v>
      </c>
      <c r="N42" s="49">
        <f t="shared" si="4"/>
        <v>1500</v>
      </c>
      <c r="O42" s="53">
        <f t="shared" si="6"/>
        <v>0</v>
      </c>
      <c r="P42" s="87"/>
      <c r="Q42" s="58"/>
    </row>
    <row r="43" spans="1:17" hidden="1">
      <c r="A43" s="24">
        <v>134</v>
      </c>
      <c r="B43" s="20" t="s">
        <v>82</v>
      </c>
      <c r="C43" s="33">
        <v>0</v>
      </c>
      <c r="D43" s="152"/>
      <c r="E43" s="152"/>
      <c r="F43" s="152"/>
      <c r="G43" s="152"/>
      <c r="H43" s="152"/>
      <c r="I43" s="152"/>
      <c r="J43" s="152"/>
      <c r="K43" s="152"/>
      <c r="L43" s="33">
        <f t="shared" si="5"/>
        <v>0</v>
      </c>
      <c r="M43" s="49">
        <v>0</v>
      </c>
      <c r="N43" s="49">
        <f t="shared" si="4"/>
        <v>0</v>
      </c>
      <c r="O43" s="53">
        <f t="shared" si="6"/>
        <v>0</v>
      </c>
      <c r="P43" s="87"/>
      <c r="Q43" s="58"/>
    </row>
    <row r="44" spans="1:17">
      <c r="A44" s="24">
        <v>135</v>
      </c>
      <c r="B44" s="20" t="s">
        <v>90</v>
      </c>
      <c r="C44" s="33">
        <v>100840.04999999999</v>
      </c>
      <c r="D44" s="152">
        <v>15000</v>
      </c>
      <c r="E44" s="152"/>
      <c r="F44" s="152">
        <v>60000</v>
      </c>
      <c r="G44" s="152"/>
      <c r="H44" s="152"/>
      <c r="I44" s="152"/>
      <c r="J44" s="152"/>
      <c r="K44" s="152"/>
      <c r="L44" s="33">
        <f t="shared" si="5"/>
        <v>175840.05</v>
      </c>
      <c r="M44" s="49">
        <v>166174.09000000003</v>
      </c>
      <c r="N44" s="49">
        <f t="shared" si="4"/>
        <v>9665.9599999999627</v>
      </c>
      <c r="O44" s="53">
        <f t="shared" si="6"/>
        <v>3.8779124585971519E-2</v>
      </c>
      <c r="P44" s="87"/>
      <c r="Q44" s="58"/>
    </row>
    <row r="45" spans="1:17">
      <c r="A45" s="24">
        <v>141</v>
      </c>
      <c r="B45" s="20" t="s">
        <v>71</v>
      </c>
      <c r="C45" s="33">
        <v>846850</v>
      </c>
      <c r="D45" s="152"/>
      <c r="E45" s="155">
        <v>210000</v>
      </c>
      <c r="F45" s="152">
        <v>65000</v>
      </c>
      <c r="G45" s="152"/>
      <c r="H45" s="152"/>
      <c r="I45" s="155">
        <v>136000</v>
      </c>
      <c r="J45" s="152"/>
      <c r="K45" s="152">
        <v>42500</v>
      </c>
      <c r="L45" s="33">
        <f t="shared" si="5"/>
        <v>523350</v>
      </c>
      <c r="M45" s="49">
        <v>461546.35</v>
      </c>
      <c r="N45" s="49">
        <f t="shared" si="4"/>
        <v>61803.650000000023</v>
      </c>
      <c r="O45" s="53">
        <f t="shared" si="6"/>
        <v>0.10770850864205371</v>
      </c>
      <c r="P45" s="87"/>
      <c r="Q45" s="58"/>
    </row>
    <row r="46" spans="1:17">
      <c r="A46" s="24">
        <v>142</v>
      </c>
      <c r="B46" s="20" t="s">
        <v>22</v>
      </c>
      <c r="C46" s="33">
        <v>16000</v>
      </c>
      <c r="D46" s="152"/>
      <c r="E46" s="152"/>
      <c r="F46" s="152"/>
      <c r="G46" s="152"/>
      <c r="H46" s="152"/>
      <c r="I46" s="152"/>
      <c r="J46" s="152"/>
      <c r="K46" s="152"/>
      <c r="L46" s="33">
        <f t="shared" si="5"/>
        <v>16000</v>
      </c>
      <c r="M46" s="49">
        <v>9000</v>
      </c>
      <c r="N46" s="49">
        <f t="shared" si="4"/>
        <v>7000</v>
      </c>
      <c r="O46" s="53">
        <f t="shared" si="6"/>
        <v>2.100280021234018E-3</v>
      </c>
      <c r="P46" s="87"/>
      <c r="Q46" s="58"/>
    </row>
    <row r="47" spans="1:17">
      <c r="A47" s="24">
        <v>143</v>
      </c>
      <c r="B47" s="20" t="s">
        <v>112</v>
      </c>
      <c r="C47" s="33">
        <v>27000</v>
      </c>
      <c r="D47" s="152"/>
      <c r="E47" s="152"/>
      <c r="F47" s="152">
        <v>18000</v>
      </c>
      <c r="G47" s="152"/>
      <c r="H47" s="152"/>
      <c r="I47" s="152"/>
      <c r="J47" s="152"/>
      <c r="K47" s="152"/>
      <c r="L47" s="33">
        <f t="shared" si="5"/>
        <v>45000</v>
      </c>
      <c r="M47" s="49">
        <v>31093.07</v>
      </c>
      <c r="N47" s="49">
        <f t="shared" si="4"/>
        <v>13906.93</v>
      </c>
      <c r="O47" s="53">
        <f t="shared" si="6"/>
        <v>7.2560170799812005E-3</v>
      </c>
      <c r="P47" s="87"/>
      <c r="Q47" s="58"/>
    </row>
    <row r="48" spans="1:17">
      <c r="A48" s="24">
        <v>151</v>
      </c>
      <c r="B48" s="20" t="s">
        <v>118</v>
      </c>
      <c r="C48" s="33">
        <v>70560</v>
      </c>
      <c r="D48" s="152"/>
      <c r="E48" s="152"/>
      <c r="F48" s="152"/>
      <c r="G48" s="152"/>
      <c r="H48" s="152"/>
      <c r="I48" s="152"/>
      <c r="J48" s="152"/>
      <c r="K48" s="152"/>
      <c r="L48" s="33">
        <f t="shared" si="5"/>
        <v>70560</v>
      </c>
      <c r="M48" s="49">
        <v>70560</v>
      </c>
      <c r="N48" s="49">
        <f t="shared" si="4"/>
        <v>0</v>
      </c>
      <c r="O48" s="53">
        <f t="shared" si="6"/>
        <v>1.6466195366474701E-2</v>
      </c>
      <c r="P48" s="87"/>
      <c r="Q48" s="58"/>
    </row>
    <row r="49" spans="1:17" hidden="1">
      <c r="A49" s="24">
        <v>155</v>
      </c>
      <c r="B49" s="20" t="s">
        <v>33</v>
      </c>
      <c r="C49" s="33">
        <v>0</v>
      </c>
      <c r="D49" s="152"/>
      <c r="E49" s="152"/>
      <c r="F49" s="152"/>
      <c r="G49" s="152"/>
      <c r="H49" s="152"/>
      <c r="I49" s="152"/>
      <c r="J49" s="152"/>
      <c r="K49" s="152"/>
      <c r="L49" s="33">
        <f t="shared" si="5"/>
        <v>0</v>
      </c>
      <c r="M49" s="49">
        <v>0</v>
      </c>
      <c r="N49" s="49">
        <f t="shared" si="4"/>
        <v>0</v>
      </c>
      <c r="O49" s="53">
        <f t="shared" si="6"/>
        <v>0</v>
      </c>
      <c r="P49" s="87"/>
      <c r="Q49" s="58"/>
    </row>
    <row r="50" spans="1:17">
      <c r="A50" s="24">
        <v>158</v>
      </c>
      <c r="B50" s="20" t="s">
        <v>91</v>
      </c>
      <c r="C50" s="33">
        <v>6550</v>
      </c>
      <c r="D50" s="152"/>
      <c r="E50" s="152"/>
      <c r="F50" s="152"/>
      <c r="G50" s="152"/>
      <c r="H50" s="152"/>
      <c r="I50" s="152"/>
      <c r="J50" s="152"/>
      <c r="K50" s="152"/>
      <c r="L50" s="33">
        <f t="shared" si="5"/>
        <v>6550</v>
      </c>
      <c r="M50" s="49">
        <v>1416</v>
      </c>
      <c r="N50" s="49">
        <f t="shared" si="4"/>
        <v>5134</v>
      </c>
      <c r="O50" s="53">
        <f t="shared" si="6"/>
        <v>3.3044405667415213E-4</v>
      </c>
      <c r="P50" s="87"/>
      <c r="Q50" s="58"/>
    </row>
    <row r="51" spans="1:17">
      <c r="A51" s="24">
        <v>162</v>
      </c>
      <c r="B51" s="20" t="s">
        <v>53</v>
      </c>
      <c r="C51" s="33">
        <v>2000</v>
      </c>
      <c r="D51" s="152"/>
      <c r="E51" s="152"/>
      <c r="F51" s="152"/>
      <c r="G51" s="152"/>
      <c r="H51" s="152"/>
      <c r="I51" s="152"/>
      <c r="J51" s="152"/>
      <c r="K51" s="152"/>
      <c r="L51" s="33">
        <f t="shared" si="5"/>
        <v>2000</v>
      </c>
      <c r="M51" s="49">
        <v>350</v>
      </c>
      <c r="N51" s="49">
        <f t="shared" si="4"/>
        <v>1650</v>
      </c>
      <c r="O51" s="53">
        <f t="shared" si="6"/>
        <v>8.1677556381322915E-5</v>
      </c>
      <c r="P51" s="87"/>
      <c r="Q51" s="58"/>
    </row>
    <row r="52" spans="1:17">
      <c r="A52" s="24">
        <v>164</v>
      </c>
      <c r="B52" s="20" t="s">
        <v>40</v>
      </c>
      <c r="C52" s="33">
        <v>20000</v>
      </c>
      <c r="D52" s="152"/>
      <c r="E52" s="152"/>
      <c r="F52" s="152"/>
      <c r="G52" s="152"/>
      <c r="H52" s="152"/>
      <c r="I52" s="152"/>
      <c r="J52" s="152"/>
      <c r="K52" s="152"/>
      <c r="L52" s="33">
        <f t="shared" si="5"/>
        <v>20000</v>
      </c>
      <c r="M52" s="49">
        <v>19550</v>
      </c>
      <c r="N52" s="49">
        <f t="shared" si="4"/>
        <v>450</v>
      </c>
      <c r="O52" s="53">
        <f t="shared" si="6"/>
        <v>4.5622749350138943E-3</v>
      </c>
      <c r="P52" s="87"/>
      <c r="Q52" s="58"/>
    </row>
    <row r="53" spans="1:17">
      <c r="A53" s="24">
        <v>165</v>
      </c>
      <c r="B53" s="20" t="s">
        <v>92</v>
      </c>
      <c r="C53" s="33">
        <v>6900</v>
      </c>
      <c r="D53" s="152"/>
      <c r="E53" s="152"/>
      <c r="F53" s="152"/>
      <c r="G53" s="152"/>
      <c r="H53" s="152"/>
      <c r="I53" s="152"/>
      <c r="J53" s="152"/>
      <c r="K53" s="152"/>
      <c r="L53" s="33">
        <f t="shared" si="5"/>
        <v>6900</v>
      </c>
      <c r="M53" s="49">
        <v>2266.08</v>
      </c>
      <c r="N53" s="49">
        <f t="shared" si="4"/>
        <v>4633.92</v>
      </c>
      <c r="O53" s="53">
        <f t="shared" si="6"/>
        <v>5.2882250561310919E-4</v>
      </c>
      <c r="P53" s="87"/>
      <c r="Q53" s="58"/>
    </row>
    <row r="54" spans="1:17">
      <c r="A54" s="24">
        <v>168</v>
      </c>
      <c r="B54" s="20" t="s">
        <v>54</v>
      </c>
      <c r="C54" s="33">
        <v>3000</v>
      </c>
      <c r="D54" s="152"/>
      <c r="E54" s="152"/>
      <c r="F54" s="152"/>
      <c r="G54" s="152"/>
      <c r="H54" s="152"/>
      <c r="I54" s="152"/>
      <c r="J54" s="152"/>
      <c r="K54" s="152"/>
      <c r="L54" s="33">
        <f t="shared" si="5"/>
        <v>3000</v>
      </c>
      <c r="M54" s="49">
        <v>2535</v>
      </c>
      <c r="N54" s="49">
        <f t="shared" si="4"/>
        <v>465</v>
      </c>
      <c r="O54" s="53">
        <f t="shared" si="6"/>
        <v>5.9157887264758174E-4</v>
      </c>
      <c r="P54" s="87"/>
      <c r="Q54" s="58"/>
    </row>
    <row r="55" spans="1:17">
      <c r="A55" s="24">
        <v>174</v>
      </c>
      <c r="B55" s="20" t="s">
        <v>41</v>
      </c>
      <c r="C55" s="33">
        <v>5000</v>
      </c>
      <c r="D55" s="152"/>
      <c r="E55" s="152"/>
      <c r="F55" s="152"/>
      <c r="G55" s="152"/>
      <c r="H55" s="152">
        <v>22500</v>
      </c>
      <c r="I55" s="152"/>
      <c r="J55" s="152"/>
      <c r="K55" s="152"/>
      <c r="L55" s="33">
        <f t="shared" si="5"/>
        <v>27500</v>
      </c>
      <c r="M55" s="49">
        <v>2947.37</v>
      </c>
      <c r="N55" s="49">
        <f t="shared" si="4"/>
        <v>24552.63</v>
      </c>
      <c r="O55" s="53">
        <f t="shared" si="6"/>
        <v>6.8781136957605637E-4</v>
      </c>
      <c r="P55" s="87"/>
      <c r="Q55" s="58"/>
    </row>
    <row r="56" spans="1:17">
      <c r="A56" s="24">
        <v>181</v>
      </c>
      <c r="B56" s="20" t="s">
        <v>139</v>
      </c>
      <c r="C56" s="33">
        <v>158000</v>
      </c>
      <c r="D56" s="152"/>
      <c r="E56" s="152"/>
      <c r="F56" s="152"/>
      <c r="G56" s="152"/>
      <c r="H56" s="152">
        <v>5000</v>
      </c>
      <c r="I56" s="152"/>
      <c r="J56" s="152"/>
      <c r="K56" s="152"/>
      <c r="L56" s="33">
        <f t="shared" si="5"/>
        <v>163000</v>
      </c>
      <c r="M56" s="49">
        <v>0</v>
      </c>
      <c r="N56" s="49">
        <f t="shared" si="4"/>
        <v>163000</v>
      </c>
      <c r="O56" s="53">
        <f t="shared" si="6"/>
        <v>0</v>
      </c>
      <c r="P56" s="87"/>
      <c r="Q56" s="58"/>
    </row>
    <row r="57" spans="1:17" hidden="1">
      <c r="A57" s="24">
        <v>182</v>
      </c>
      <c r="B57" s="20" t="s">
        <v>56</v>
      </c>
      <c r="C57" s="33">
        <v>0</v>
      </c>
      <c r="D57" s="152"/>
      <c r="E57" s="152"/>
      <c r="F57" s="152"/>
      <c r="G57" s="152"/>
      <c r="H57" s="152"/>
      <c r="I57" s="152"/>
      <c r="J57" s="152"/>
      <c r="K57" s="152"/>
      <c r="L57" s="33">
        <f t="shared" si="5"/>
        <v>0</v>
      </c>
      <c r="M57" s="49">
        <v>0</v>
      </c>
      <c r="N57" s="49">
        <f t="shared" si="4"/>
        <v>0</v>
      </c>
      <c r="O57" s="53">
        <f t="shared" si="6"/>
        <v>0</v>
      </c>
      <c r="P57" s="87"/>
      <c r="Q57" s="58"/>
    </row>
    <row r="58" spans="1:17">
      <c r="A58" s="24">
        <v>183</v>
      </c>
      <c r="B58" s="20" t="s">
        <v>93</v>
      </c>
      <c r="C58" s="33">
        <v>85000</v>
      </c>
      <c r="D58" s="152"/>
      <c r="E58" s="152"/>
      <c r="F58" s="152"/>
      <c r="G58" s="152">
        <v>51000</v>
      </c>
      <c r="H58" s="152"/>
      <c r="I58" s="152"/>
      <c r="J58" s="152"/>
      <c r="K58" s="152"/>
      <c r="L58" s="33">
        <f t="shared" si="5"/>
        <v>34000</v>
      </c>
      <c r="M58" s="49">
        <v>16775</v>
      </c>
      <c r="N58" s="49">
        <f t="shared" si="4"/>
        <v>17225</v>
      </c>
      <c r="O58" s="53">
        <f t="shared" si="6"/>
        <v>3.9146885951334056E-3</v>
      </c>
      <c r="P58" s="87"/>
      <c r="Q58" s="58"/>
    </row>
    <row r="59" spans="1:17">
      <c r="A59" s="24">
        <v>184</v>
      </c>
      <c r="B59" s="20" t="s">
        <v>94</v>
      </c>
      <c r="C59" s="33">
        <v>50000</v>
      </c>
      <c r="D59" s="152"/>
      <c r="E59" s="152"/>
      <c r="F59" s="152"/>
      <c r="G59" s="152"/>
      <c r="H59" s="152"/>
      <c r="I59" s="152"/>
      <c r="J59" s="152"/>
      <c r="K59" s="152"/>
      <c r="L59" s="33">
        <f t="shared" si="5"/>
        <v>50000</v>
      </c>
      <c r="M59" s="49">
        <v>48000</v>
      </c>
      <c r="N59" s="49">
        <f t="shared" si="4"/>
        <v>2000</v>
      </c>
      <c r="O59" s="53">
        <f t="shared" si="6"/>
        <v>1.1201493446581428E-2</v>
      </c>
      <c r="P59" s="87"/>
      <c r="Q59" s="58"/>
    </row>
    <row r="60" spans="1:17">
      <c r="A60" s="24">
        <v>185</v>
      </c>
      <c r="B60" s="20" t="s">
        <v>95</v>
      </c>
      <c r="C60" s="33">
        <v>15000</v>
      </c>
      <c r="D60" s="152"/>
      <c r="E60" s="152"/>
      <c r="F60" s="152"/>
      <c r="G60" s="152">
        <v>8500</v>
      </c>
      <c r="H60" s="152"/>
      <c r="I60" s="152"/>
      <c r="J60" s="152"/>
      <c r="K60" s="152"/>
      <c r="L60" s="33">
        <f t="shared" si="5"/>
        <v>6500</v>
      </c>
      <c r="M60" s="49">
        <v>3762</v>
      </c>
      <c r="N60" s="49">
        <f t="shared" si="4"/>
        <v>2738</v>
      </c>
      <c r="O60" s="53">
        <f t="shared" si="6"/>
        <v>8.7791704887581949E-4</v>
      </c>
      <c r="P60" s="87"/>
      <c r="Q60" s="58"/>
    </row>
    <row r="61" spans="1:17">
      <c r="A61" s="24">
        <v>186</v>
      </c>
      <c r="B61" s="20" t="s">
        <v>42</v>
      </c>
      <c r="C61" s="33">
        <v>2000</v>
      </c>
      <c r="D61" s="152"/>
      <c r="E61" s="152"/>
      <c r="F61" s="152">
        <v>84700</v>
      </c>
      <c r="G61" s="152"/>
      <c r="H61" s="152"/>
      <c r="I61" s="152"/>
      <c r="J61" s="152"/>
      <c r="K61" s="152"/>
      <c r="L61" s="33">
        <f t="shared" si="5"/>
        <v>86700</v>
      </c>
      <c r="M61" s="49">
        <v>85540</v>
      </c>
      <c r="N61" s="49">
        <f t="shared" si="4"/>
        <v>1160</v>
      </c>
      <c r="O61" s="53">
        <f t="shared" si="6"/>
        <v>1.9961994779595323E-2</v>
      </c>
      <c r="P61" s="87"/>
      <c r="Q61" s="58"/>
    </row>
    <row r="62" spans="1:17">
      <c r="A62" s="24">
        <v>187</v>
      </c>
      <c r="B62" s="20" t="s">
        <v>96</v>
      </c>
      <c r="C62" s="33">
        <v>20000</v>
      </c>
      <c r="D62" s="152"/>
      <c r="E62" s="152"/>
      <c r="F62" s="152"/>
      <c r="G62" s="152"/>
      <c r="H62" s="152"/>
      <c r="I62" s="152"/>
      <c r="J62" s="152"/>
      <c r="K62" s="152"/>
      <c r="L62" s="33">
        <f t="shared" si="5"/>
        <v>20000</v>
      </c>
      <c r="M62" s="49">
        <v>7900</v>
      </c>
      <c r="N62" s="49">
        <f t="shared" si="4"/>
        <v>12100</v>
      </c>
      <c r="O62" s="53">
        <f t="shared" si="6"/>
        <v>1.8435791297498601E-3</v>
      </c>
      <c r="P62" s="87"/>
      <c r="Q62" s="58"/>
    </row>
    <row r="63" spans="1:17">
      <c r="A63" s="24">
        <v>188</v>
      </c>
      <c r="B63" s="20" t="s">
        <v>97</v>
      </c>
      <c r="C63" s="33">
        <v>60000</v>
      </c>
      <c r="D63" s="152"/>
      <c r="E63" s="152"/>
      <c r="F63" s="152"/>
      <c r="G63" s="152"/>
      <c r="H63" s="152"/>
      <c r="I63" s="152"/>
      <c r="J63" s="152"/>
      <c r="K63" s="152"/>
      <c r="L63" s="33">
        <f t="shared" si="5"/>
        <v>60000</v>
      </c>
      <c r="M63" s="49">
        <v>0</v>
      </c>
      <c r="N63" s="49">
        <f t="shared" si="4"/>
        <v>60000</v>
      </c>
      <c r="O63" s="53">
        <f t="shared" si="6"/>
        <v>0</v>
      </c>
      <c r="P63" s="87"/>
      <c r="Q63" s="58"/>
    </row>
    <row r="64" spans="1:17">
      <c r="A64" s="24">
        <v>189</v>
      </c>
      <c r="B64" s="20" t="s">
        <v>98</v>
      </c>
      <c r="C64" s="33">
        <v>285000</v>
      </c>
      <c r="D64" s="152"/>
      <c r="E64" s="152">
        <v>50000</v>
      </c>
      <c r="F64" s="152"/>
      <c r="G64" s="152"/>
      <c r="H64" s="152"/>
      <c r="I64" s="152"/>
      <c r="J64" s="152"/>
      <c r="K64" s="152"/>
      <c r="L64" s="33">
        <f t="shared" si="5"/>
        <v>235000</v>
      </c>
      <c r="M64" s="49">
        <v>204560</v>
      </c>
      <c r="N64" s="49">
        <f t="shared" si="4"/>
        <v>30440</v>
      </c>
      <c r="O64" s="53">
        <f t="shared" si="6"/>
        <v>4.7737031238181189E-2</v>
      </c>
      <c r="P64" s="87"/>
      <c r="Q64" s="58"/>
    </row>
    <row r="65" spans="1:18">
      <c r="A65" s="24">
        <v>191</v>
      </c>
      <c r="B65" s="20" t="s">
        <v>99</v>
      </c>
      <c r="C65" s="33">
        <v>11250</v>
      </c>
      <c r="D65" s="152"/>
      <c r="E65" s="152"/>
      <c r="F65" s="153"/>
      <c r="G65" s="152"/>
      <c r="H65" s="152"/>
      <c r="I65" s="152"/>
      <c r="J65" s="152"/>
      <c r="K65" s="152"/>
      <c r="L65" s="33">
        <f t="shared" si="5"/>
        <v>11250</v>
      </c>
      <c r="M65" s="49">
        <v>8527.8799999999992</v>
      </c>
      <c r="N65" s="49">
        <f t="shared" si="4"/>
        <v>2722.1200000000008</v>
      </c>
      <c r="O65" s="53">
        <f t="shared" si="6"/>
        <v>1.9901039986090171E-3</v>
      </c>
      <c r="P65" s="87"/>
      <c r="Q65" s="58"/>
    </row>
    <row r="66" spans="1:18">
      <c r="A66" s="24">
        <v>194</v>
      </c>
      <c r="B66" s="20" t="s">
        <v>148</v>
      </c>
      <c r="C66" s="33">
        <v>5000</v>
      </c>
      <c r="D66" s="152"/>
      <c r="E66" s="152"/>
      <c r="F66" s="152"/>
      <c r="G66" s="152"/>
      <c r="H66" s="152"/>
      <c r="I66" s="152"/>
      <c r="J66" s="152"/>
      <c r="K66" s="152"/>
      <c r="L66" s="33">
        <f t="shared" si="5"/>
        <v>5000</v>
      </c>
      <c r="M66" s="49">
        <v>2214.66</v>
      </c>
      <c r="N66" s="49">
        <f t="shared" si="4"/>
        <v>2785.34</v>
      </c>
      <c r="O66" s="53">
        <f t="shared" si="6"/>
        <v>5.1682290575845891E-4</v>
      </c>
      <c r="P66" s="87"/>
      <c r="Q66" s="58"/>
    </row>
    <row r="67" spans="1:18">
      <c r="A67" s="24">
        <v>195</v>
      </c>
      <c r="B67" s="20" t="s">
        <v>34</v>
      </c>
      <c r="C67" s="33">
        <v>10000</v>
      </c>
      <c r="D67" s="152"/>
      <c r="E67" s="152"/>
      <c r="F67" s="152">
        <v>9500</v>
      </c>
      <c r="G67" s="152"/>
      <c r="H67" s="152"/>
      <c r="I67" s="152"/>
      <c r="J67" s="152"/>
      <c r="K67" s="152"/>
      <c r="L67" s="33">
        <f t="shared" si="5"/>
        <v>19500</v>
      </c>
      <c r="M67" s="49">
        <v>15921.83</v>
      </c>
      <c r="N67" s="49">
        <f t="shared" si="4"/>
        <v>3578.17</v>
      </c>
      <c r="O67" s="53">
        <f t="shared" si="6"/>
        <v>3.7155890500538248E-3</v>
      </c>
      <c r="P67" s="87"/>
      <c r="Q67" s="58"/>
    </row>
    <row r="68" spans="1:18">
      <c r="A68" s="24">
        <v>196</v>
      </c>
      <c r="B68" s="20" t="s">
        <v>100</v>
      </c>
      <c r="C68" s="33">
        <v>20000</v>
      </c>
      <c r="D68" s="152"/>
      <c r="E68" s="152"/>
      <c r="F68" s="152"/>
      <c r="G68" s="152">
        <v>20000</v>
      </c>
      <c r="H68" s="152"/>
      <c r="I68" s="152"/>
      <c r="J68" s="152"/>
      <c r="K68" s="152"/>
      <c r="L68" s="33">
        <f t="shared" si="5"/>
        <v>0</v>
      </c>
      <c r="M68" s="49">
        <v>0</v>
      </c>
      <c r="N68" s="49">
        <f t="shared" si="4"/>
        <v>0</v>
      </c>
      <c r="O68" s="53">
        <f t="shared" si="6"/>
        <v>0</v>
      </c>
      <c r="P68" s="87"/>
      <c r="Q68" s="58"/>
    </row>
    <row r="69" spans="1:18">
      <c r="A69" s="24">
        <v>199</v>
      </c>
      <c r="B69" s="20" t="s">
        <v>55</v>
      </c>
      <c r="C69" s="33">
        <v>25000</v>
      </c>
      <c r="D69" s="152"/>
      <c r="E69" s="152"/>
      <c r="F69" s="152"/>
      <c r="G69" s="152"/>
      <c r="H69" s="152"/>
      <c r="I69" s="152"/>
      <c r="J69" s="152"/>
      <c r="K69" s="152"/>
      <c r="L69" s="33">
        <f t="shared" si="5"/>
        <v>25000</v>
      </c>
      <c r="M69" s="49">
        <v>21382.94</v>
      </c>
      <c r="N69" s="49">
        <f t="shared" si="4"/>
        <v>3617.0600000000013</v>
      </c>
      <c r="O69" s="53">
        <f t="shared" si="6"/>
        <v>4.9900179641384143E-3</v>
      </c>
      <c r="P69" s="87"/>
      <c r="Q69" s="58"/>
    </row>
    <row r="70" spans="1:18">
      <c r="A70" s="24"/>
      <c r="B70" s="20"/>
      <c r="C70" s="33"/>
      <c r="D70" s="152"/>
      <c r="E70" s="152"/>
      <c r="F70" s="152"/>
      <c r="G70" s="152"/>
      <c r="H70" s="152"/>
      <c r="I70" s="152"/>
      <c r="J70" s="152"/>
      <c r="K70" s="152"/>
      <c r="L70" s="33"/>
      <c r="M70" s="81"/>
      <c r="N70" s="49"/>
      <c r="O70" s="53"/>
      <c r="P70" s="87"/>
      <c r="Q70" s="58"/>
    </row>
    <row r="71" spans="1:18">
      <c r="A71" s="23">
        <v>2</v>
      </c>
      <c r="B71" s="23" t="s">
        <v>11</v>
      </c>
      <c r="C71" s="33"/>
      <c r="D71" s="152"/>
      <c r="E71" s="152"/>
      <c r="F71" s="152"/>
      <c r="G71" s="152"/>
      <c r="H71" s="152"/>
      <c r="I71" s="152"/>
      <c r="J71" s="152"/>
      <c r="K71" s="152"/>
      <c r="L71" s="33"/>
      <c r="M71" s="83"/>
      <c r="N71" s="49"/>
      <c r="O71" s="53"/>
      <c r="P71" s="87"/>
      <c r="Q71" s="58"/>
    </row>
    <row r="72" spans="1:18">
      <c r="A72" s="24">
        <v>211</v>
      </c>
      <c r="B72" s="20" t="s">
        <v>23</v>
      </c>
      <c r="C72" s="33">
        <v>111400</v>
      </c>
      <c r="D72" s="152"/>
      <c r="E72" s="152"/>
      <c r="F72" s="152"/>
      <c r="G72" s="152">
        <v>25000</v>
      </c>
      <c r="H72" s="152"/>
      <c r="I72" s="152"/>
      <c r="J72" s="152"/>
      <c r="K72" s="152"/>
      <c r="L72" s="33">
        <f t="shared" ref="L72:L98" si="7">C72+D72-E72+F72-G72+H72-I72+J72-K72</f>
        <v>86400</v>
      </c>
      <c r="M72" s="49">
        <v>73242.31</v>
      </c>
      <c r="N72" s="49">
        <f t="shared" ref="N72:N98" si="8">L72-M72</f>
        <v>13157.690000000002</v>
      </c>
      <c r="O72" s="53">
        <f t="shared" ref="O72:O98" si="9">M72/$M$114</f>
        <v>1.7092151155780947E-2</v>
      </c>
      <c r="P72" s="87"/>
      <c r="Q72" s="58"/>
    </row>
    <row r="73" spans="1:18" hidden="1">
      <c r="A73" s="24">
        <v>219</v>
      </c>
      <c r="B73" s="20" t="s">
        <v>24</v>
      </c>
      <c r="C73" s="33">
        <v>0</v>
      </c>
      <c r="D73" s="152"/>
      <c r="E73" s="152"/>
      <c r="F73" s="152"/>
      <c r="G73" s="152"/>
      <c r="H73" s="152"/>
      <c r="I73" s="152"/>
      <c r="J73" s="152"/>
      <c r="K73" s="152"/>
      <c r="L73" s="33">
        <f t="shared" si="7"/>
        <v>0</v>
      </c>
      <c r="M73" s="49"/>
      <c r="N73" s="49">
        <f t="shared" si="8"/>
        <v>0</v>
      </c>
      <c r="O73" s="53">
        <f t="shared" si="9"/>
        <v>0</v>
      </c>
      <c r="P73" s="87"/>
      <c r="Q73" s="58"/>
    </row>
    <row r="74" spans="1:18">
      <c r="A74" s="24">
        <v>232</v>
      </c>
      <c r="B74" s="20" t="s">
        <v>57</v>
      </c>
      <c r="C74" s="33">
        <v>1080</v>
      </c>
      <c r="D74" s="152"/>
      <c r="E74" s="152"/>
      <c r="F74" s="152"/>
      <c r="G74" s="152"/>
      <c r="H74" s="152">
        <v>800</v>
      </c>
      <c r="I74" s="152"/>
      <c r="J74" s="152"/>
      <c r="K74" s="152"/>
      <c r="L74" s="33">
        <f t="shared" si="7"/>
        <v>1880</v>
      </c>
      <c r="M74" s="49">
        <v>1231</v>
      </c>
      <c r="N74" s="49">
        <f t="shared" si="8"/>
        <v>649</v>
      </c>
      <c r="O74" s="53">
        <f t="shared" si="9"/>
        <v>2.872716340154529E-4</v>
      </c>
      <c r="P74" s="87"/>
      <c r="Q74" s="58"/>
    </row>
    <row r="75" spans="1:18">
      <c r="A75" s="24">
        <v>233</v>
      </c>
      <c r="B75" s="20" t="s">
        <v>70</v>
      </c>
      <c r="C75" s="33">
        <v>58000</v>
      </c>
      <c r="D75" s="152"/>
      <c r="E75" s="152"/>
      <c r="F75" s="152"/>
      <c r="G75" s="152">
        <v>40000</v>
      </c>
      <c r="H75" s="152">
        <v>44250</v>
      </c>
      <c r="I75" s="152"/>
      <c r="J75" s="152"/>
      <c r="K75" s="152"/>
      <c r="L75" s="33">
        <f t="shared" si="7"/>
        <v>62250</v>
      </c>
      <c r="M75" s="49">
        <v>45460.84</v>
      </c>
      <c r="N75" s="49">
        <f t="shared" si="8"/>
        <v>16789.160000000003</v>
      </c>
      <c r="O75" s="53">
        <f t="shared" si="9"/>
        <v>1.0608943777835143E-2</v>
      </c>
      <c r="P75" s="87"/>
      <c r="Q75" s="58"/>
      <c r="R75" s="87"/>
    </row>
    <row r="76" spans="1:18">
      <c r="A76" s="24">
        <v>241</v>
      </c>
      <c r="B76" s="20" t="s">
        <v>58</v>
      </c>
      <c r="C76" s="33">
        <v>6000</v>
      </c>
      <c r="D76" s="152"/>
      <c r="E76" s="152"/>
      <c r="F76" s="152"/>
      <c r="G76" s="152"/>
      <c r="H76" s="152"/>
      <c r="I76" s="152"/>
      <c r="J76" s="152"/>
      <c r="K76" s="152"/>
      <c r="L76" s="33">
        <f t="shared" si="7"/>
        <v>6000</v>
      </c>
      <c r="M76" s="49">
        <v>2408.4</v>
      </c>
      <c r="N76" s="49">
        <f t="shared" si="8"/>
        <v>3591.6</v>
      </c>
      <c r="O76" s="53">
        <f t="shared" si="9"/>
        <v>5.6203493368222322E-4</v>
      </c>
      <c r="P76" s="87"/>
      <c r="Q76" s="58"/>
      <c r="R76" s="87"/>
    </row>
    <row r="77" spans="1:18">
      <c r="A77" s="24">
        <v>243</v>
      </c>
      <c r="B77" s="20" t="s">
        <v>43</v>
      </c>
      <c r="C77" s="33">
        <v>1100</v>
      </c>
      <c r="D77" s="152"/>
      <c r="E77" s="152"/>
      <c r="F77" s="152"/>
      <c r="G77" s="152"/>
      <c r="H77" s="152"/>
      <c r="I77" s="152"/>
      <c r="J77" s="152"/>
      <c r="K77" s="152"/>
      <c r="L77" s="33">
        <f t="shared" si="7"/>
        <v>1100</v>
      </c>
      <c r="M77" s="49">
        <v>646.39999999999986</v>
      </c>
      <c r="N77" s="49">
        <f t="shared" si="8"/>
        <v>453.60000000000014</v>
      </c>
      <c r="O77" s="53">
        <f t="shared" si="9"/>
        <v>1.508467784139632E-4</v>
      </c>
      <c r="P77" s="87"/>
      <c r="Q77" s="58"/>
    </row>
    <row r="78" spans="1:18">
      <c r="A78" s="24">
        <v>244</v>
      </c>
      <c r="B78" s="20" t="s">
        <v>44</v>
      </c>
      <c r="C78" s="33">
        <v>2255</v>
      </c>
      <c r="D78" s="152"/>
      <c r="E78" s="152"/>
      <c r="F78" s="152"/>
      <c r="G78" s="152"/>
      <c r="H78" s="152"/>
      <c r="I78" s="152"/>
      <c r="J78" s="152"/>
      <c r="K78" s="152"/>
      <c r="L78" s="33">
        <f t="shared" si="7"/>
        <v>2255</v>
      </c>
      <c r="M78" s="49">
        <v>1361.2</v>
      </c>
      <c r="N78" s="49">
        <f t="shared" si="8"/>
        <v>893.8</v>
      </c>
      <c r="O78" s="53">
        <f t="shared" si="9"/>
        <v>3.1765568498930504E-4</v>
      </c>
      <c r="P78" s="87"/>
      <c r="Q78" s="58"/>
    </row>
    <row r="79" spans="1:18">
      <c r="A79" s="24">
        <v>245</v>
      </c>
      <c r="B79" s="20" t="s">
        <v>45</v>
      </c>
      <c r="C79" s="33">
        <v>1300</v>
      </c>
      <c r="D79" s="152"/>
      <c r="E79" s="152"/>
      <c r="F79" s="152"/>
      <c r="G79" s="152"/>
      <c r="H79" s="152"/>
      <c r="I79" s="152"/>
      <c r="J79" s="152"/>
      <c r="K79" s="152"/>
      <c r="L79" s="33">
        <f t="shared" si="7"/>
        <v>1300</v>
      </c>
      <c r="M79" s="49">
        <v>795</v>
      </c>
      <c r="N79" s="49">
        <f t="shared" si="8"/>
        <v>505</v>
      </c>
      <c r="O79" s="53">
        <f t="shared" si="9"/>
        <v>1.855247352090049E-4</v>
      </c>
      <c r="P79" s="87"/>
      <c r="Q79" s="58"/>
    </row>
    <row r="80" spans="1:18">
      <c r="A80" s="24">
        <v>253</v>
      </c>
      <c r="B80" s="20" t="s">
        <v>37</v>
      </c>
      <c r="C80" s="33">
        <v>7500</v>
      </c>
      <c r="D80" s="152"/>
      <c r="E80" s="152"/>
      <c r="F80" s="152"/>
      <c r="G80" s="152"/>
      <c r="H80" s="152"/>
      <c r="I80" s="152"/>
      <c r="J80" s="152"/>
      <c r="K80" s="152"/>
      <c r="L80" s="33">
        <f t="shared" si="7"/>
        <v>7500</v>
      </c>
      <c r="M80" s="49">
        <v>0</v>
      </c>
      <c r="N80" s="49">
        <f t="shared" si="8"/>
        <v>7500</v>
      </c>
      <c r="O80" s="53">
        <f t="shared" si="9"/>
        <v>0</v>
      </c>
      <c r="P80" s="87"/>
      <c r="Q80" s="58"/>
    </row>
    <row r="81" spans="1:17">
      <c r="A81" s="24">
        <v>254</v>
      </c>
      <c r="B81" s="20" t="s">
        <v>46</v>
      </c>
      <c r="C81" s="33">
        <v>750</v>
      </c>
      <c r="D81" s="152"/>
      <c r="E81" s="152"/>
      <c r="F81" s="152"/>
      <c r="G81" s="152"/>
      <c r="H81" s="152"/>
      <c r="I81" s="152"/>
      <c r="J81" s="152"/>
      <c r="K81" s="152"/>
      <c r="L81" s="33">
        <f t="shared" si="7"/>
        <v>750</v>
      </c>
      <c r="M81" s="49">
        <v>270</v>
      </c>
      <c r="N81" s="49">
        <f t="shared" si="8"/>
        <v>480</v>
      </c>
      <c r="O81" s="53">
        <f t="shared" si="9"/>
        <v>6.3008400637020538E-5</v>
      </c>
      <c r="P81" s="87"/>
      <c r="Q81" s="58"/>
    </row>
    <row r="82" spans="1:17">
      <c r="A82" s="24">
        <v>262</v>
      </c>
      <c r="B82" s="20" t="s">
        <v>59</v>
      </c>
      <c r="C82" s="33">
        <v>9770</v>
      </c>
      <c r="D82" s="152"/>
      <c r="E82" s="152"/>
      <c r="F82" s="152"/>
      <c r="G82" s="152"/>
      <c r="H82" s="152"/>
      <c r="I82" s="152"/>
      <c r="J82" s="152"/>
      <c r="K82" s="152"/>
      <c r="L82" s="33">
        <f t="shared" si="7"/>
        <v>9770</v>
      </c>
      <c r="M82" s="49">
        <v>8999.9599999999991</v>
      </c>
      <c r="N82" s="49">
        <f t="shared" si="8"/>
        <v>770.04000000000087</v>
      </c>
      <c r="O82" s="53">
        <f t="shared" si="9"/>
        <v>2.1002706866561456E-3</v>
      </c>
      <c r="P82" s="87"/>
      <c r="Q82" s="58"/>
    </row>
    <row r="83" spans="1:17">
      <c r="A83" s="24">
        <v>266</v>
      </c>
      <c r="B83" s="20" t="s">
        <v>60</v>
      </c>
      <c r="C83" s="33">
        <v>600</v>
      </c>
      <c r="D83" s="152">
        <v>1250</v>
      </c>
      <c r="E83" s="152"/>
      <c r="F83" s="152"/>
      <c r="G83" s="152"/>
      <c r="H83" s="152"/>
      <c r="I83" s="152"/>
      <c r="J83" s="152"/>
      <c r="K83" s="152"/>
      <c r="L83" s="33">
        <f t="shared" si="7"/>
        <v>1850</v>
      </c>
      <c r="M83" s="49">
        <v>1411.7599999999998</v>
      </c>
      <c r="N83" s="49">
        <f t="shared" si="8"/>
        <v>438.24000000000024</v>
      </c>
      <c r="O83" s="53">
        <f t="shared" si="9"/>
        <v>3.2945459141970408E-4</v>
      </c>
      <c r="P83" s="87"/>
      <c r="Q83" s="58"/>
    </row>
    <row r="84" spans="1:17">
      <c r="A84" s="24">
        <v>267</v>
      </c>
      <c r="B84" s="20" t="s">
        <v>86</v>
      </c>
      <c r="C84" s="33">
        <v>22000</v>
      </c>
      <c r="D84" s="152"/>
      <c r="E84" s="152"/>
      <c r="F84" s="152"/>
      <c r="G84" s="152"/>
      <c r="H84" s="152"/>
      <c r="I84" s="152"/>
      <c r="J84" s="152"/>
      <c r="K84" s="152"/>
      <c r="L84" s="33">
        <f t="shared" si="7"/>
        <v>22000</v>
      </c>
      <c r="M84" s="49">
        <v>15760</v>
      </c>
      <c r="N84" s="49">
        <f t="shared" si="8"/>
        <v>6240</v>
      </c>
      <c r="O84" s="53">
        <f t="shared" si="9"/>
        <v>3.6778236816275693E-3</v>
      </c>
      <c r="P84" s="87"/>
      <c r="Q84" s="58"/>
    </row>
    <row r="85" spans="1:17">
      <c r="A85" s="24">
        <v>268</v>
      </c>
      <c r="B85" s="20" t="s">
        <v>61</v>
      </c>
      <c r="C85" s="33">
        <v>794</v>
      </c>
      <c r="D85" s="152">
        <v>1000</v>
      </c>
      <c r="E85" s="152"/>
      <c r="F85" s="152"/>
      <c r="G85" s="152"/>
      <c r="H85" s="152"/>
      <c r="I85" s="152"/>
      <c r="J85" s="152"/>
      <c r="K85" s="152"/>
      <c r="L85" s="33">
        <f t="shared" si="7"/>
        <v>1794</v>
      </c>
      <c r="M85" s="49">
        <v>1610.5000000000002</v>
      </c>
      <c r="N85" s="49">
        <f t="shared" si="8"/>
        <v>183.49999999999977</v>
      </c>
      <c r="O85" s="53">
        <f t="shared" si="9"/>
        <v>3.7583344157748736E-4</v>
      </c>
      <c r="P85" s="87"/>
      <c r="Q85" s="58"/>
    </row>
    <row r="86" spans="1:17">
      <c r="A86" s="24">
        <v>269</v>
      </c>
      <c r="B86" s="20" t="s">
        <v>62</v>
      </c>
      <c r="C86" s="33">
        <v>500</v>
      </c>
      <c r="D86" s="152">
        <v>750</v>
      </c>
      <c r="E86" s="152"/>
      <c r="F86" s="152"/>
      <c r="G86" s="152"/>
      <c r="H86" s="152"/>
      <c r="I86" s="152"/>
      <c r="J86" s="152"/>
      <c r="K86" s="152"/>
      <c r="L86" s="33">
        <f t="shared" si="7"/>
        <v>1250</v>
      </c>
      <c r="M86" s="49">
        <v>450</v>
      </c>
      <c r="N86" s="49">
        <f t="shared" si="8"/>
        <v>800</v>
      </c>
      <c r="O86" s="53">
        <f t="shared" si="9"/>
        <v>1.0501400106170089E-4</v>
      </c>
      <c r="P86" s="87"/>
      <c r="Q86" s="58"/>
    </row>
    <row r="87" spans="1:17">
      <c r="A87" s="24">
        <v>271</v>
      </c>
      <c r="B87" s="20" t="s">
        <v>63</v>
      </c>
      <c r="C87" s="33">
        <v>160800</v>
      </c>
      <c r="D87" s="152"/>
      <c r="E87" s="152"/>
      <c r="F87" s="152"/>
      <c r="G87" s="152">
        <v>7700</v>
      </c>
      <c r="H87" s="152"/>
      <c r="I87" s="152"/>
      <c r="J87" s="152"/>
      <c r="K87" s="152"/>
      <c r="L87" s="33">
        <f t="shared" si="7"/>
        <v>153100</v>
      </c>
      <c r="M87" s="49">
        <v>152689.19</v>
      </c>
      <c r="N87" s="49">
        <f t="shared" si="8"/>
        <v>410.80999999999767</v>
      </c>
      <c r="O87" s="53">
        <f t="shared" si="9"/>
        <v>3.5632228357267225E-2</v>
      </c>
      <c r="P87" s="87"/>
      <c r="Q87" s="58"/>
    </row>
    <row r="88" spans="1:17">
      <c r="A88" s="24">
        <v>273</v>
      </c>
      <c r="B88" s="20" t="s">
        <v>190</v>
      </c>
      <c r="C88" s="33">
        <v>0</v>
      </c>
      <c r="D88" s="152"/>
      <c r="E88" s="152"/>
      <c r="F88" s="152"/>
      <c r="G88" s="152"/>
      <c r="H88" s="152"/>
      <c r="I88" s="152"/>
      <c r="J88" s="152">
        <v>750</v>
      </c>
      <c r="K88" s="152"/>
      <c r="L88" s="33">
        <f t="shared" si="7"/>
        <v>750</v>
      </c>
      <c r="M88" s="49">
        <v>221.6</v>
      </c>
      <c r="N88" s="49">
        <f t="shared" si="8"/>
        <v>528.4</v>
      </c>
      <c r="O88" s="53">
        <f t="shared" si="9"/>
        <v>5.1713561411717595E-5</v>
      </c>
      <c r="P88" s="87"/>
      <c r="Q88" s="58"/>
    </row>
    <row r="89" spans="1:17">
      <c r="A89" s="24">
        <v>283</v>
      </c>
      <c r="B89" s="20" t="s">
        <v>64</v>
      </c>
      <c r="C89" s="33">
        <v>1000</v>
      </c>
      <c r="D89" s="152"/>
      <c r="E89" s="152"/>
      <c r="F89" s="152"/>
      <c r="G89" s="152"/>
      <c r="H89" s="152">
        <v>500</v>
      </c>
      <c r="I89" s="152"/>
      <c r="J89" s="152"/>
      <c r="K89" s="152"/>
      <c r="L89" s="33">
        <f t="shared" si="7"/>
        <v>1500</v>
      </c>
      <c r="M89" s="49">
        <v>871.16</v>
      </c>
      <c r="N89" s="49">
        <f t="shared" si="8"/>
        <v>628.84</v>
      </c>
      <c r="O89" s="53">
        <f t="shared" si="9"/>
        <v>2.0329777147758078E-4</v>
      </c>
      <c r="P89" s="87"/>
      <c r="Q89" s="58"/>
    </row>
    <row r="90" spans="1:17">
      <c r="A90" s="24">
        <v>284</v>
      </c>
      <c r="B90" s="20" t="s">
        <v>47</v>
      </c>
      <c r="C90" s="33">
        <v>7500</v>
      </c>
      <c r="D90" s="152"/>
      <c r="E90" s="152"/>
      <c r="F90" s="152"/>
      <c r="G90" s="152"/>
      <c r="H90" s="152">
        <v>5000</v>
      </c>
      <c r="I90" s="152"/>
      <c r="J90" s="152"/>
      <c r="K90" s="152"/>
      <c r="L90" s="33">
        <f t="shared" si="7"/>
        <v>12500</v>
      </c>
      <c r="M90" s="49">
        <v>1200</v>
      </c>
      <c r="N90" s="49">
        <f t="shared" si="8"/>
        <v>11300</v>
      </c>
      <c r="O90" s="53">
        <f t="shared" si="9"/>
        <v>2.8003733616453573E-4</v>
      </c>
      <c r="P90" s="87"/>
      <c r="Q90" s="58"/>
    </row>
    <row r="91" spans="1:17">
      <c r="A91" s="24">
        <v>285</v>
      </c>
      <c r="B91" s="20" t="s">
        <v>113</v>
      </c>
      <c r="C91" s="33">
        <v>807000</v>
      </c>
      <c r="D91" s="152"/>
      <c r="E91" s="152"/>
      <c r="F91" s="152">
        <v>50000</v>
      </c>
      <c r="G91" s="152"/>
      <c r="H91" s="152"/>
      <c r="I91" s="152"/>
      <c r="J91" s="152"/>
      <c r="K91" s="152"/>
      <c r="L91" s="33">
        <f t="shared" si="7"/>
        <v>857000</v>
      </c>
      <c r="M91" s="49">
        <v>0</v>
      </c>
      <c r="N91" s="49">
        <f t="shared" si="8"/>
        <v>857000</v>
      </c>
      <c r="O91" s="53">
        <f t="shared" si="9"/>
        <v>0</v>
      </c>
      <c r="P91" s="87"/>
      <c r="Q91" s="58"/>
    </row>
    <row r="92" spans="1:17">
      <c r="A92" s="24">
        <v>291</v>
      </c>
      <c r="B92" s="20" t="s">
        <v>65</v>
      </c>
      <c r="C92" s="33">
        <v>9000</v>
      </c>
      <c r="D92" s="152"/>
      <c r="E92" s="152"/>
      <c r="F92" s="152"/>
      <c r="G92" s="152"/>
      <c r="H92" s="152"/>
      <c r="I92" s="152"/>
      <c r="J92" s="152"/>
      <c r="K92" s="152"/>
      <c r="L92" s="33">
        <f t="shared" si="7"/>
        <v>9000</v>
      </c>
      <c r="M92" s="49">
        <v>3182.3900000000003</v>
      </c>
      <c r="N92" s="49">
        <f t="shared" si="8"/>
        <v>5817.61</v>
      </c>
      <c r="O92" s="53">
        <f t="shared" si="9"/>
        <v>7.4265668186388075E-4</v>
      </c>
      <c r="P92" s="87"/>
      <c r="Q92" s="58"/>
    </row>
    <row r="93" spans="1:17">
      <c r="A93" s="24">
        <v>292</v>
      </c>
      <c r="B93" s="20" t="s">
        <v>66</v>
      </c>
      <c r="C93" s="33">
        <v>1800</v>
      </c>
      <c r="D93" s="152"/>
      <c r="E93" s="152"/>
      <c r="F93" s="152"/>
      <c r="G93" s="152"/>
      <c r="H93" s="152"/>
      <c r="I93" s="152"/>
      <c r="J93" s="152"/>
      <c r="K93" s="152"/>
      <c r="L93" s="33">
        <f t="shared" si="7"/>
        <v>1800</v>
      </c>
      <c r="M93" s="49">
        <v>1346.35</v>
      </c>
      <c r="N93" s="49">
        <f t="shared" si="8"/>
        <v>453.65000000000009</v>
      </c>
      <c r="O93" s="53">
        <f t="shared" si="9"/>
        <v>3.1419022295426887E-4</v>
      </c>
      <c r="P93" s="87"/>
      <c r="Q93" s="58"/>
    </row>
    <row r="94" spans="1:17">
      <c r="A94" s="24">
        <v>294</v>
      </c>
      <c r="B94" s="20" t="s">
        <v>67</v>
      </c>
      <c r="C94" s="33">
        <v>140250</v>
      </c>
      <c r="D94" s="152"/>
      <c r="E94" s="152"/>
      <c r="F94" s="152"/>
      <c r="G94" s="152"/>
      <c r="H94" s="152">
        <v>17000</v>
      </c>
      <c r="I94" s="152"/>
      <c r="J94" s="152"/>
      <c r="K94" s="152"/>
      <c r="L94" s="33">
        <f t="shared" si="7"/>
        <v>157250</v>
      </c>
      <c r="M94" s="49">
        <v>129324.64</v>
      </c>
      <c r="N94" s="49">
        <f t="shared" si="8"/>
        <v>27925.360000000001</v>
      </c>
      <c r="O94" s="53">
        <f t="shared" si="9"/>
        <v>3.0179773071697967E-2</v>
      </c>
      <c r="P94" s="87"/>
      <c r="Q94" s="58"/>
    </row>
    <row r="95" spans="1:17">
      <c r="A95" s="24">
        <v>296</v>
      </c>
      <c r="B95" s="20" t="s">
        <v>180</v>
      </c>
      <c r="C95" s="33">
        <v>500</v>
      </c>
      <c r="D95" s="152"/>
      <c r="E95" s="152"/>
      <c r="F95" s="152"/>
      <c r="G95" s="152"/>
      <c r="H95" s="152"/>
      <c r="I95" s="152"/>
      <c r="J95" s="152"/>
      <c r="K95" s="152"/>
      <c r="L95" s="33">
        <f t="shared" si="7"/>
        <v>500</v>
      </c>
      <c r="M95" s="49">
        <v>0</v>
      </c>
      <c r="N95" s="49">
        <f t="shared" si="8"/>
        <v>500</v>
      </c>
      <c r="O95" s="53">
        <f t="shared" si="9"/>
        <v>0</v>
      </c>
      <c r="P95" s="87"/>
      <c r="Q95" s="58"/>
    </row>
    <row r="96" spans="1:17">
      <c r="A96" s="24">
        <v>297</v>
      </c>
      <c r="B96" s="20" t="s">
        <v>68</v>
      </c>
      <c r="C96" s="33">
        <v>1000</v>
      </c>
      <c r="D96" s="152"/>
      <c r="E96" s="152"/>
      <c r="F96" s="152"/>
      <c r="G96" s="152"/>
      <c r="H96" s="152"/>
      <c r="I96" s="152"/>
      <c r="J96" s="152"/>
      <c r="K96" s="152"/>
      <c r="L96" s="33">
        <f t="shared" si="7"/>
        <v>1000</v>
      </c>
      <c r="M96" s="49">
        <v>530.17999999999995</v>
      </c>
      <c r="N96" s="49">
        <f t="shared" si="8"/>
        <v>469.82000000000005</v>
      </c>
      <c r="O96" s="53">
        <f t="shared" si="9"/>
        <v>1.2372516240642794E-4</v>
      </c>
      <c r="P96" s="87"/>
      <c r="Q96" s="58"/>
    </row>
    <row r="97" spans="1:17">
      <c r="A97" s="24">
        <v>298</v>
      </c>
      <c r="B97" s="20" t="s">
        <v>25</v>
      </c>
      <c r="C97" s="33">
        <v>85460</v>
      </c>
      <c r="D97" s="152"/>
      <c r="E97" s="152">
        <v>20000</v>
      </c>
      <c r="F97" s="152"/>
      <c r="G97" s="152">
        <v>25000</v>
      </c>
      <c r="H97" s="152">
        <v>6600</v>
      </c>
      <c r="I97" s="152"/>
      <c r="J97" s="152"/>
      <c r="K97" s="152"/>
      <c r="L97" s="33">
        <f t="shared" si="7"/>
        <v>47060</v>
      </c>
      <c r="M97" s="49">
        <v>21954.760000000002</v>
      </c>
      <c r="N97" s="49">
        <f t="shared" si="8"/>
        <v>25105.239999999998</v>
      </c>
      <c r="O97" s="53">
        <f t="shared" si="9"/>
        <v>5.1234604221097524E-3</v>
      </c>
      <c r="P97" s="87"/>
      <c r="Q97" s="58"/>
    </row>
    <row r="98" spans="1:17">
      <c r="A98" s="24">
        <v>299</v>
      </c>
      <c r="B98" s="20" t="s">
        <v>69</v>
      </c>
      <c r="C98" s="33">
        <v>12000</v>
      </c>
      <c r="D98" s="152"/>
      <c r="E98" s="152"/>
      <c r="F98" s="152"/>
      <c r="G98" s="152"/>
      <c r="H98" s="152"/>
      <c r="I98" s="152"/>
      <c r="J98" s="152"/>
      <c r="K98" s="152"/>
      <c r="L98" s="33">
        <f t="shared" si="7"/>
        <v>12000</v>
      </c>
      <c r="M98" s="49">
        <v>3048.25</v>
      </c>
      <c r="N98" s="49">
        <f t="shared" si="8"/>
        <v>8951.75</v>
      </c>
      <c r="O98" s="53">
        <f t="shared" si="9"/>
        <v>7.1135317496962165E-4</v>
      </c>
      <c r="P98" s="87"/>
      <c r="Q98" s="58"/>
    </row>
    <row r="99" spans="1:17">
      <c r="A99" s="24"/>
      <c r="B99" s="20"/>
      <c r="C99" s="33"/>
      <c r="D99" s="152"/>
      <c r="E99" s="152"/>
      <c r="F99" s="152"/>
      <c r="G99" s="152"/>
      <c r="H99" s="152"/>
      <c r="I99" s="152"/>
      <c r="J99" s="152"/>
      <c r="K99" s="152"/>
      <c r="L99" s="33"/>
      <c r="M99" s="81"/>
      <c r="N99" s="49"/>
      <c r="O99" s="53"/>
      <c r="P99" s="87"/>
      <c r="Q99" s="58"/>
    </row>
    <row r="100" spans="1:17">
      <c r="A100" s="23">
        <v>3</v>
      </c>
      <c r="B100" s="23" t="s">
        <v>129</v>
      </c>
      <c r="C100" s="33"/>
      <c r="D100" s="152"/>
      <c r="E100" s="152"/>
      <c r="F100" s="152"/>
      <c r="G100" s="152"/>
      <c r="H100" s="152"/>
      <c r="I100" s="152"/>
      <c r="J100" s="152"/>
      <c r="K100" s="152"/>
      <c r="L100" s="33"/>
      <c r="M100" s="83"/>
      <c r="N100" s="49"/>
      <c r="O100" s="53"/>
      <c r="P100" s="87"/>
      <c r="Q100" s="58"/>
    </row>
    <row r="101" spans="1:17">
      <c r="A101" s="24">
        <v>322</v>
      </c>
      <c r="B101" s="20" t="s">
        <v>83</v>
      </c>
      <c r="C101" s="33">
        <v>18000</v>
      </c>
      <c r="D101" s="152"/>
      <c r="E101" s="152"/>
      <c r="F101" s="152"/>
      <c r="G101" s="152"/>
      <c r="H101" s="152"/>
      <c r="I101" s="152"/>
      <c r="J101" s="152"/>
      <c r="K101" s="152"/>
      <c r="L101" s="33">
        <f t="shared" ref="L101:L112" si="10">C101+D101-E101+F101-G101+H101-I101+J101-K101</f>
        <v>18000</v>
      </c>
      <c r="M101" s="49">
        <v>0</v>
      </c>
      <c r="N101" s="49">
        <f t="shared" ref="N101:N106" si="11">L101-M101</f>
        <v>18000</v>
      </c>
      <c r="O101" s="53">
        <f t="shared" ref="O101:O106" si="12">M101/$M$114</f>
        <v>0</v>
      </c>
      <c r="P101" s="87"/>
      <c r="Q101" s="58"/>
    </row>
    <row r="102" spans="1:17" hidden="1">
      <c r="A102" s="24">
        <v>323</v>
      </c>
      <c r="B102" s="20" t="s">
        <v>119</v>
      </c>
      <c r="C102" s="33">
        <v>0</v>
      </c>
      <c r="D102" s="152"/>
      <c r="E102" s="152"/>
      <c r="F102" s="152"/>
      <c r="G102" s="152"/>
      <c r="H102" s="152"/>
      <c r="I102" s="152"/>
      <c r="J102" s="152"/>
      <c r="K102" s="152"/>
      <c r="L102" s="33">
        <f t="shared" si="10"/>
        <v>0</v>
      </c>
      <c r="M102" s="49"/>
      <c r="N102" s="49">
        <f t="shared" si="11"/>
        <v>0</v>
      </c>
      <c r="O102" s="53">
        <f t="shared" si="12"/>
        <v>0</v>
      </c>
      <c r="P102" s="87"/>
      <c r="Q102" s="58"/>
    </row>
    <row r="103" spans="1:17">
      <c r="A103" s="24">
        <v>324</v>
      </c>
      <c r="B103" s="20" t="s">
        <v>120</v>
      </c>
      <c r="C103" s="33">
        <v>2147922.54</v>
      </c>
      <c r="D103" s="152"/>
      <c r="E103" s="152"/>
      <c r="F103" s="152"/>
      <c r="G103" s="152"/>
      <c r="H103" s="152">
        <v>19200</v>
      </c>
      <c r="I103" s="152"/>
      <c r="J103" s="152"/>
      <c r="K103" s="152"/>
      <c r="L103" s="33">
        <f t="shared" si="10"/>
        <v>2167122.54</v>
      </c>
      <c r="M103" s="49">
        <v>89975</v>
      </c>
      <c r="N103" s="49">
        <f t="shared" si="11"/>
        <v>2077147.54</v>
      </c>
      <c r="O103" s="53">
        <f t="shared" si="12"/>
        <v>2.0996966101170085E-2</v>
      </c>
      <c r="P103" s="87"/>
      <c r="Q103" s="58"/>
    </row>
    <row r="104" spans="1:17">
      <c r="A104" s="24">
        <v>328</v>
      </c>
      <c r="B104" s="20" t="s">
        <v>84</v>
      </c>
      <c r="C104" s="33">
        <v>7500</v>
      </c>
      <c r="D104" s="152"/>
      <c r="E104" s="152"/>
      <c r="F104" s="152"/>
      <c r="G104" s="152"/>
      <c r="H104" s="152">
        <v>2900</v>
      </c>
      <c r="I104" s="152"/>
      <c r="J104" s="152"/>
      <c r="K104" s="152"/>
      <c r="L104" s="33">
        <f t="shared" si="10"/>
        <v>10400</v>
      </c>
      <c r="M104" s="49">
        <v>0</v>
      </c>
      <c r="N104" s="49">
        <f t="shared" si="11"/>
        <v>10400</v>
      </c>
      <c r="O104" s="53">
        <f t="shared" si="12"/>
        <v>0</v>
      </c>
      <c r="P104" s="87"/>
      <c r="Q104" s="58"/>
    </row>
    <row r="105" spans="1:17">
      <c r="A105" s="24">
        <v>329</v>
      </c>
      <c r="B105" s="20" t="s">
        <v>85</v>
      </c>
      <c r="C105" s="33">
        <v>10500</v>
      </c>
      <c r="D105" s="152"/>
      <c r="E105" s="152"/>
      <c r="F105" s="152"/>
      <c r="G105" s="152"/>
      <c r="H105" s="152">
        <v>2750</v>
      </c>
      <c r="I105" s="152"/>
      <c r="J105" s="152"/>
      <c r="K105" s="152"/>
      <c r="L105" s="33">
        <f t="shared" si="10"/>
        <v>13250</v>
      </c>
      <c r="M105" s="49">
        <v>5995</v>
      </c>
      <c r="N105" s="49">
        <f t="shared" si="11"/>
        <v>7255</v>
      </c>
      <c r="O105" s="53">
        <f t="shared" si="12"/>
        <v>1.3990198585886596E-3</v>
      </c>
      <c r="P105" s="87"/>
      <c r="Q105" s="58"/>
    </row>
    <row r="106" spans="1:17">
      <c r="A106" s="24">
        <v>332</v>
      </c>
      <c r="B106" s="20" t="s">
        <v>140</v>
      </c>
      <c r="C106" s="33">
        <v>2388358.86</v>
      </c>
      <c r="D106" s="152"/>
      <c r="E106" s="152"/>
      <c r="F106" s="152"/>
      <c r="G106" s="152"/>
      <c r="H106" s="152"/>
      <c r="I106" s="152"/>
      <c r="J106" s="152"/>
      <c r="K106" s="152"/>
      <c r="L106" s="33">
        <f t="shared" si="10"/>
        <v>2388358.86</v>
      </c>
      <c r="M106" s="49">
        <v>0</v>
      </c>
      <c r="N106" s="49">
        <f t="shared" si="11"/>
        <v>2388358.86</v>
      </c>
      <c r="O106" s="53">
        <f t="shared" si="12"/>
        <v>0</v>
      </c>
      <c r="P106" s="87"/>
      <c r="Q106" s="58"/>
    </row>
    <row r="107" spans="1:17">
      <c r="A107" s="23">
        <v>4</v>
      </c>
      <c r="B107" s="23" t="s">
        <v>12</v>
      </c>
      <c r="C107" s="33"/>
      <c r="D107" s="152"/>
      <c r="E107" s="152"/>
      <c r="F107" s="152"/>
      <c r="G107" s="152"/>
      <c r="H107" s="152"/>
      <c r="I107" s="152"/>
      <c r="J107" s="152"/>
      <c r="K107" s="152"/>
      <c r="L107" s="33"/>
      <c r="M107" s="81"/>
      <c r="N107" s="49"/>
      <c r="O107" s="53"/>
      <c r="P107" s="87"/>
      <c r="Q107" s="58"/>
    </row>
    <row r="108" spans="1:17">
      <c r="A108" s="25">
        <v>413</v>
      </c>
      <c r="B108" s="26" t="s">
        <v>72</v>
      </c>
      <c r="C108" s="33">
        <v>20750</v>
      </c>
      <c r="D108" s="152"/>
      <c r="E108" s="152"/>
      <c r="F108" s="152"/>
      <c r="G108" s="152"/>
      <c r="H108" s="152"/>
      <c r="I108" s="152"/>
      <c r="J108" s="152"/>
      <c r="K108" s="152"/>
      <c r="L108" s="33">
        <f t="shared" si="10"/>
        <v>20750</v>
      </c>
      <c r="M108" s="49">
        <v>0</v>
      </c>
      <c r="N108" s="49">
        <f t="shared" ref="N108:N112" si="13">L108-M108</f>
        <v>20750</v>
      </c>
      <c r="O108" s="53">
        <f>M108/$M$114</f>
        <v>0</v>
      </c>
      <c r="P108" s="87"/>
      <c r="Q108" s="58"/>
    </row>
    <row r="109" spans="1:17">
      <c r="A109" s="25">
        <v>415</v>
      </c>
      <c r="B109" s="26" t="s">
        <v>73</v>
      </c>
      <c r="C109" s="33">
        <v>7600</v>
      </c>
      <c r="D109" s="152"/>
      <c r="E109" s="152"/>
      <c r="F109" s="152"/>
      <c r="G109" s="152"/>
      <c r="H109" s="152"/>
      <c r="I109" s="152"/>
      <c r="J109" s="152"/>
      <c r="K109" s="152"/>
      <c r="L109" s="33">
        <f t="shared" si="10"/>
        <v>7600</v>
      </c>
      <c r="M109" s="49">
        <v>0</v>
      </c>
      <c r="N109" s="49">
        <f t="shared" si="13"/>
        <v>7600</v>
      </c>
      <c r="O109" s="53">
        <f>M109/$M$114</f>
        <v>0</v>
      </c>
      <c r="P109" s="87"/>
      <c r="Q109" s="58"/>
    </row>
    <row r="110" spans="1:17">
      <c r="A110" s="25">
        <v>419</v>
      </c>
      <c r="B110" s="26" t="s">
        <v>74</v>
      </c>
      <c r="C110" s="33">
        <v>19200</v>
      </c>
      <c r="D110" s="152"/>
      <c r="E110" s="152"/>
      <c r="F110" s="152"/>
      <c r="G110" s="152"/>
      <c r="H110" s="152"/>
      <c r="I110" s="152"/>
      <c r="J110" s="152"/>
      <c r="K110" s="152"/>
      <c r="L110" s="33">
        <f t="shared" si="10"/>
        <v>19200</v>
      </c>
      <c r="M110" s="49">
        <v>13800</v>
      </c>
      <c r="N110" s="49">
        <f t="shared" si="13"/>
        <v>5400</v>
      </c>
      <c r="O110" s="53">
        <f>M110/$M$114</f>
        <v>3.2204293658921607E-3</v>
      </c>
      <c r="P110" s="87"/>
      <c r="Q110" s="58"/>
    </row>
    <row r="111" spans="1:17">
      <c r="A111" s="25">
        <v>453</v>
      </c>
      <c r="B111" s="26" t="s">
        <v>75</v>
      </c>
      <c r="C111" s="33">
        <v>255000</v>
      </c>
      <c r="D111" s="152"/>
      <c r="E111" s="152"/>
      <c r="F111" s="152"/>
      <c r="G111" s="152">
        <v>50000</v>
      </c>
      <c r="H111" s="152"/>
      <c r="I111" s="152"/>
      <c r="J111" s="152">
        <v>92600</v>
      </c>
      <c r="K111" s="152"/>
      <c r="L111" s="33">
        <f t="shared" si="10"/>
        <v>297600</v>
      </c>
      <c r="M111" s="49">
        <v>162109.51999999999</v>
      </c>
      <c r="N111" s="49">
        <f t="shared" si="13"/>
        <v>135490.48000000001</v>
      </c>
      <c r="O111" s="53">
        <f>M111/$M$114</f>
        <v>3.7830598456426272E-2</v>
      </c>
      <c r="P111" s="87"/>
      <c r="Q111" s="58"/>
    </row>
    <row r="112" spans="1:17">
      <c r="A112" s="25">
        <v>472</v>
      </c>
      <c r="B112" s="26" t="s">
        <v>105</v>
      </c>
      <c r="C112" s="33">
        <v>8200</v>
      </c>
      <c r="D112" s="152">
        <v>12000</v>
      </c>
      <c r="E112" s="152"/>
      <c r="F112" s="152"/>
      <c r="G112" s="152"/>
      <c r="H112" s="152"/>
      <c r="I112" s="152"/>
      <c r="J112" s="152"/>
      <c r="K112" s="152"/>
      <c r="L112" s="33">
        <f t="shared" si="10"/>
        <v>20200</v>
      </c>
      <c r="M112" s="49">
        <v>4628.7699999999995</v>
      </c>
      <c r="N112" s="49">
        <f t="shared" si="13"/>
        <v>15571.23</v>
      </c>
      <c r="O112" s="53">
        <f>M112/$M$114</f>
        <v>1.0801903504319315E-3</v>
      </c>
      <c r="P112" s="87"/>
      <c r="Q112" s="58"/>
    </row>
    <row r="113" spans="1:17" ht="20.25" customHeight="1" thickBot="1">
      <c r="A113" s="22"/>
      <c r="B113" s="64"/>
      <c r="C113" s="18"/>
      <c r="D113" s="152"/>
      <c r="E113" s="152"/>
      <c r="F113" s="154"/>
      <c r="G113" s="154"/>
      <c r="H113" s="154"/>
      <c r="I113" s="154"/>
      <c r="J113" s="154"/>
      <c r="K113" s="154"/>
      <c r="L113" s="18"/>
      <c r="M113" s="84"/>
      <c r="N113" s="50"/>
      <c r="O113" s="53"/>
      <c r="Q113" s="58"/>
    </row>
    <row r="114" spans="1:17" ht="20.25" customHeight="1" thickBot="1">
      <c r="A114" s="65"/>
      <c r="B114" s="8" t="s">
        <v>7</v>
      </c>
      <c r="C114" s="94">
        <f>SUM(C21:C113)</f>
        <v>10577202.25</v>
      </c>
      <c r="D114" s="156">
        <f>SUM(D21:D113)</f>
        <v>280000</v>
      </c>
      <c r="E114" s="156">
        <f>SUM(E21:E113)</f>
        <v>280000</v>
      </c>
      <c r="F114" s="156">
        <f t="shared" ref="F114:K114" si="14">SUM(F21:F113)</f>
        <v>287200</v>
      </c>
      <c r="G114" s="156">
        <f t="shared" si="14"/>
        <v>287200</v>
      </c>
      <c r="H114" s="156">
        <f t="shared" si="14"/>
        <v>136000</v>
      </c>
      <c r="I114" s="156">
        <f t="shared" si="14"/>
        <v>136000</v>
      </c>
      <c r="J114" s="156">
        <f t="shared" si="14"/>
        <v>104350</v>
      </c>
      <c r="K114" s="156">
        <f t="shared" si="14"/>
        <v>104350</v>
      </c>
      <c r="L114" s="97">
        <f>ROUND((SUM(L21:L113)),2)</f>
        <v>10577202.25</v>
      </c>
      <c r="M114" s="97">
        <f>ROUND((SUM(M21:M113)),2)</f>
        <v>4285142.8899999997</v>
      </c>
      <c r="N114" s="97">
        <f>ROUND((SUM(N21:N113)),2)</f>
        <v>6292059.3600000003</v>
      </c>
      <c r="O114" s="98">
        <f>M114/M114</f>
        <v>1</v>
      </c>
      <c r="Q114" s="58"/>
    </row>
    <row r="115" spans="1:17" ht="20.25" customHeight="1" thickBot="1">
      <c r="A115" s="66"/>
      <c r="B115" s="13"/>
      <c r="C115" s="14"/>
      <c r="D115" s="14"/>
      <c r="E115" s="14"/>
      <c r="F115" s="14"/>
      <c r="G115" s="27"/>
      <c r="H115" s="27"/>
      <c r="I115" s="14"/>
      <c r="J115" s="27"/>
      <c r="K115" s="14"/>
      <c r="L115" s="14"/>
      <c r="M115" s="85"/>
      <c r="N115" s="14"/>
      <c r="O115" s="15"/>
      <c r="Q115" s="58"/>
    </row>
    <row r="116" spans="1:17" ht="20.25" hidden="1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85"/>
      <c r="N116" s="14"/>
      <c r="O116" s="15"/>
      <c r="Q116" s="58"/>
    </row>
    <row r="117" spans="1:17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41"/>
      <c r="K117" s="41"/>
      <c r="L117" s="16"/>
      <c r="M117" s="86"/>
      <c r="N117" s="10"/>
      <c r="O117" s="11"/>
    </row>
    <row r="118" spans="1:17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41"/>
      <c r="K118" s="41"/>
      <c r="L118" s="16"/>
      <c r="M118" s="86"/>
      <c r="N118" s="10"/>
      <c r="O118" s="11"/>
    </row>
    <row r="119" spans="1:17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41"/>
      <c r="K119" s="41"/>
      <c r="L119" s="16"/>
      <c r="M119" s="86"/>
      <c r="N119" s="10"/>
      <c r="O119" s="11"/>
      <c r="Q119" s="3"/>
    </row>
    <row r="120" spans="1:17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41"/>
      <c r="K120" s="41"/>
      <c r="L120" s="16"/>
      <c r="M120" s="86"/>
      <c r="N120" s="10"/>
      <c r="O120" s="11"/>
    </row>
    <row r="121" spans="1:17" s="12" customFormat="1">
      <c r="A121" s="105" t="s">
        <v>108</v>
      </c>
      <c r="B121" s="35"/>
      <c r="C121" s="101"/>
      <c r="D121" s="9"/>
      <c r="E121" s="9"/>
      <c r="F121" s="41"/>
      <c r="G121" s="41"/>
      <c r="H121" s="41"/>
      <c r="I121" s="41"/>
      <c r="J121" s="41"/>
      <c r="K121" s="41"/>
      <c r="L121" s="16"/>
      <c r="M121" s="86"/>
      <c r="N121" s="137"/>
      <c r="O121" s="138"/>
    </row>
    <row r="122" spans="1:17" s="12" customFormat="1">
      <c r="A122" s="106" t="s">
        <v>136</v>
      </c>
      <c r="B122" s="36"/>
      <c r="C122" s="150">
        <v>656637.59</v>
      </c>
      <c r="D122" s="9"/>
      <c r="E122" s="9"/>
      <c r="F122" s="41"/>
      <c r="G122" s="41"/>
      <c r="H122" s="41"/>
      <c r="I122" s="41"/>
      <c r="J122" s="41"/>
      <c r="K122" s="41"/>
      <c r="L122" s="16"/>
      <c r="M122" s="86"/>
      <c r="N122" s="137"/>
      <c r="O122" s="138"/>
    </row>
    <row r="123" spans="1:17" s="12" customFormat="1">
      <c r="A123" s="106" t="s">
        <v>76</v>
      </c>
      <c r="B123" s="36"/>
      <c r="C123" s="150">
        <f>M18</f>
        <v>4226809.5999999996</v>
      </c>
      <c r="D123" s="9"/>
      <c r="E123" s="9"/>
      <c r="F123" s="41"/>
      <c r="G123" s="41"/>
      <c r="H123" s="41"/>
      <c r="I123" s="41"/>
      <c r="J123" s="41"/>
      <c r="K123" s="41"/>
      <c r="L123" s="16"/>
      <c r="M123" s="86"/>
      <c r="N123" s="137"/>
      <c r="O123" s="138"/>
    </row>
    <row r="124" spans="1:17" s="12" customFormat="1">
      <c r="A124" s="106" t="s">
        <v>87</v>
      </c>
      <c r="B124" s="36"/>
      <c r="C124" s="122">
        <f>-M114</f>
        <v>-4285142.8899999997</v>
      </c>
      <c r="D124" s="9"/>
      <c r="E124" s="9"/>
      <c r="F124" s="41"/>
      <c r="G124" s="41"/>
      <c r="H124" s="41"/>
      <c r="I124" s="41"/>
      <c r="J124" s="41"/>
      <c r="K124" s="41"/>
      <c r="L124" s="16"/>
      <c r="M124" s="86"/>
      <c r="N124" s="137"/>
      <c r="O124" s="138"/>
    </row>
    <row r="125" spans="1:17" s="12" customFormat="1" ht="18" customHeight="1">
      <c r="A125" s="107" t="s">
        <v>107</v>
      </c>
      <c r="B125" s="36"/>
      <c r="C125" s="171">
        <f>SUM(C122:C124)</f>
        <v>598304.29999999981</v>
      </c>
      <c r="D125" s="9"/>
      <c r="E125" s="9"/>
      <c r="F125" s="41"/>
      <c r="G125" s="41"/>
      <c r="H125" s="41"/>
      <c r="I125" s="41"/>
      <c r="J125" s="41"/>
      <c r="K125" s="41"/>
      <c r="L125" s="160"/>
      <c r="M125" s="86"/>
      <c r="N125" s="181"/>
      <c r="O125" s="182"/>
    </row>
    <row r="126" spans="1:17" s="12" customFormat="1">
      <c r="A126" s="125" t="s">
        <v>170</v>
      </c>
      <c r="B126" s="35"/>
      <c r="C126" s="151"/>
      <c r="D126" s="9"/>
      <c r="E126" s="9"/>
      <c r="F126" s="41"/>
      <c r="G126" s="41"/>
      <c r="H126" s="41"/>
      <c r="I126" s="41"/>
      <c r="J126" s="41"/>
      <c r="K126" s="41"/>
      <c r="L126" s="160"/>
      <c r="M126" s="86"/>
      <c r="N126" s="182"/>
      <c r="O126" s="183"/>
    </row>
    <row r="127" spans="1:17" s="12" customFormat="1">
      <c r="A127" s="131" t="s">
        <v>184</v>
      </c>
      <c r="B127" s="35"/>
      <c r="C127" s="167">
        <v>0</v>
      </c>
      <c r="D127" s="9"/>
      <c r="E127" s="9"/>
      <c r="F127" s="41"/>
      <c r="G127" s="41"/>
      <c r="H127" s="41"/>
      <c r="I127" s="41"/>
      <c r="J127" s="41"/>
      <c r="K127" s="41"/>
      <c r="L127" s="160"/>
      <c r="M127" s="86"/>
      <c r="N127" s="182"/>
      <c r="O127" s="183"/>
    </row>
    <row r="128" spans="1:17" s="12" customFormat="1">
      <c r="A128" s="131" t="s">
        <v>185</v>
      </c>
      <c r="B128" s="36"/>
      <c r="C128" s="167">
        <v>219.61</v>
      </c>
      <c r="D128" s="9"/>
      <c r="E128" s="9"/>
      <c r="F128" s="41"/>
      <c r="G128" s="41"/>
      <c r="H128" s="41"/>
      <c r="I128" s="41"/>
      <c r="J128" s="41"/>
      <c r="K128" s="41"/>
      <c r="L128" s="160"/>
      <c r="M128" s="86"/>
      <c r="N128" s="182"/>
      <c r="O128" s="183"/>
    </row>
    <row r="129" spans="1:15" s="12" customFormat="1">
      <c r="A129" s="131" t="s">
        <v>186</v>
      </c>
      <c r="B129" s="36"/>
      <c r="C129" s="167">
        <v>3977.2400000000002</v>
      </c>
      <c r="D129" s="9"/>
      <c r="E129" s="9"/>
      <c r="F129" s="41"/>
      <c r="G129" s="48"/>
      <c r="H129" s="41"/>
      <c r="I129" s="140"/>
      <c r="J129" s="41"/>
      <c r="K129" s="140"/>
      <c r="L129" s="140"/>
      <c r="M129" s="140"/>
      <c r="N129" s="170"/>
    </row>
    <row r="130" spans="1:15" s="12" customFormat="1" ht="6.95" customHeight="1">
      <c r="A130" s="131"/>
      <c r="B130" s="36"/>
      <c r="C130" s="169"/>
      <c r="D130" s="9"/>
      <c r="E130" s="9"/>
      <c r="F130" s="41"/>
      <c r="G130" s="48"/>
      <c r="H130" s="41"/>
      <c r="I130" s="140"/>
      <c r="J130" s="41"/>
      <c r="K130" s="140"/>
      <c r="L130" s="140"/>
      <c r="M130" s="140"/>
      <c r="N130" s="170"/>
    </row>
    <row r="131" spans="1:15" s="12" customFormat="1">
      <c r="A131" s="131"/>
      <c r="B131" s="36"/>
      <c r="C131" s="171">
        <f>SUM(C127:C130)</f>
        <v>4196.8500000000004</v>
      </c>
      <c r="D131" s="9"/>
      <c r="E131" s="9"/>
      <c r="F131" s="41"/>
      <c r="G131" s="48"/>
      <c r="H131" s="41"/>
      <c r="I131" s="140"/>
      <c r="J131" s="41"/>
      <c r="K131" s="140"/>
      <c r="L131" s="140"/>
      <c r="M131" s="140"/>
      <c r="N131" s="170"/>
    </row>
    <row r="132" spans="1:15" s="12" customFormat="1" ht="6.95" customHeight="1">
      <c r="A132" s="131"/>
      <c r="B132" s="36"/>
      <c r="C132" s="169"/>
      <c r="D132" s="9"/>
      <c r="E132" s="9"/>
      <c r="F132" s="41"/>
      <c r="G132" s="41"/>
      <c r="H132" s="41"/>
      <c r="I132" s="140"/>
      <c r="J132" s="41"/>
      <c r="K132" s="140"/>
      <c r="L132" s="140"/>
      <c r="M132" s="140"/>
      <c r="N132" s="170"/>
    </row>
    <row r="133" spans="1:15" s="12" customFormat="1" ht="6.95" customHeight="1">
      <c r="A133" s="131"/>
      <c r="B133" s="36"/>
      <c r="C133" s="184"/>
      <c r="D133" s="9"/>
      <c r="E133" s="9"/>
      <c r="F133" s="41"/>
      <c r="G133" s="41"/>
      <c r="H133" s="41"/>
      <c r="I133" s="140"/>
      <c r="J133" s="41"/>
      <c r="K133" s="140"/>
      <c r="L133" s="140"/>
      <c r="M133" s="140"/>
      <c r="N133" s="170"/>
    </row>
    <row r="134" spans="1:15" s="12" customFormat="1" ht="18.75" thickBot="1">
      <c r="A134" s="133" t="s">
        <v>193</v>
      </c>
      <c r="B134" s="39"/>
      <c r="C134" s="185">
        <f>C125+C131</f>
        <v>602501.14999999979</v>
      </c>
      <c r="D134" s="9"/>
      <c r="E134" s="9"/>
      <c r="F134" s="41"/>
      <c r="G134" s="41"/>
      <c r="H134" s="41"/>
      <c r="I134" s="160"/>
      <c r="J134" s="41"/>
      <c r="K134" s="160"/>
      <c r="L134" s="165"/>
      <c r="M134" s="176"/>
      <c r="N134" s="170"/>
    </row>
    <row r="135" spans="1:15" s="12" customFormat="1" ht="6.95" customHeight="1" thickTop="1" thickBot="1">
      <c r="A135" s="135"/>
      <c r="B135" s="38"/>
      <c r="C135" s="186"/>
      <c r="D135" s="9"/>
      <c r="E135" s="9"/>
      <c r="F135" s="41"/>
      <c r="G135" s="41"/>
      <c r="H135" s="41"/>
      <c r="I135" s="160"/>
      <c r="J135" s="41"/>
      <c r="K135" s="160"/>
      <c r="L135" s="165"/>
      <c r="M135" s="176"/>
      <c r="N135" s="170"/>
    </row>
    <row r="136" spans="1:15">
      <c r="A136" s="158"/>
      <c r="B136" s="158"/>
      <c r="C136" s="178"/>
      <c r="D136" s="9"/>
      <c r="E136" s="9"/>
      <c r="F136" s="41"/>
    </row>
    <row r="137" spans="1:15">
      <c r="A137" s="157"/>
      <c r="B137" s="179" t="s">
        <v>194</v>
      </c>
      <c r="C137" s="178"/>
      <c r="D137" s="9"/>
      <c r="E137" s="9"/>
      <c r="F137" s="41"/>
    </row>
    <row r="138" spans="1:15">
      <c r="A138" s="157"/>
      <c r="B138" s="158"/>
      <c r="D138" s="9"/>
      <c r="E138" s="9"/>
      <c r="F138" s="41"/>
    </row>
    <row r="139" spans="1:15">
      <c r="A139" s="157"/>
      <c r="B139" s="12"/>
      <c r="D139" s="69"/>
    </row>
    <row r="140" spans="1:15">
      <c r="A140" s="157"/>
      <c r="B140" s="12"/>
      <c r="D140" s="69"/>
    </row>
    <row r="141" spans="1:15">
      <c r="A141" s="157"/>
      <c r="B141" s="158"/>
    </row>
    <row r="142" spans="1:15">
      <c r="A142" s="159"/>
      <c r="B142" s="158"/>
      <c r="D142" s="160"/>
      <c r="E142" s="161"/>
      <c r="F142" s="161"/>
    </row>
    <row r="143" spans="1:15">
      <c r="A143" s="159"/>
      <c r="E143" s="161"/>
      <c r="F143" s="161"/>
    </row>
    <row r="144" spans="1:15" ht="18.75">
      <c r="A144" s="159"/>
      <c r="B144" s="47" t="s">
        <v>124</v>
      </c>
      <c r="D144" s="112" t="s">
        <v>138</v>
      </c>
      <c r="E144" s="47"/>
      <c r="F144" s="47"/>
      <c r="I144" s="113"/>
      <c r="K144" s="113" t="s">
        <v>127</v>
      </c>
      <c r="M144" s="88"/>
      <c r="N144" s="162"/>
      <c r="O144" s="47"/>
    </row>
    <row r="145" spans="1:15" s="115" customFormat="1" ht="15.75">
      <c r="A145" s="163"/>
      <c r="B145" s="56" t="s">
        <v>125</v>
      </c>
      <c r="D145" s="116" t="s">
        <v>126</v>
      </c>
      <c r="E145" s="56"/>
      <c r="F145" s="56"/>
      <c r="I145" s="117"/>
      <c r="K145" s="117" t="s">
        <v>123</v>
      </c>
      <c r="M145" s="118"/>
      <c r="N145" s="56"/>
      <c r="O145" s="56"/>
    </row>
    <row r="146" spans="1:15" ht="18.75">
      <c r="A146" s="159"/>
      <c r="B146" s="47"/>
      <c r="C146" s="47"/>
      <c r="D146" s="162"/>
      <c r="E146" s="47"/>
      <c r="F146" s="47"/>
      <c r="G146" s="47"/>
      <c r="H146" s="47"/>
      <c r="I146" s="162"/>
      <c r="J146" s="47"/>
      <c r="K146" s="162"/>
      <c r="L146" s="47"/>
      <c r="M146" s="88"/>
      <c r="N146" s="47"/>
      <c r="O146" s="47"/>
    </row>
    <row r="147" spans="1:15" ht="18.75">
      <c r="A147" s="159"/>
      <c r="B147" s="47"/>
      <c r="C147" s="47"/>
      <c r="D147" s="47"/>
      <c r="F147" s="47"/>
      <c r="G147" s="47"/>
      <c r="H147" s="47"/>
      <c r="I147" s="112"/>
      <c r="J147" s="47"/>
      <c r="K147" s="112"/>
      <c r="L147" s="47"/>
      <c r="M147" s="88"/>
      <c r="O147" s="47"/>
    </row>
  </sheetData>
  <mergeCells count="3">
    <mergeCell ref="A6:A7"/>
    <mergeCell ref="B6:B7"/>
    <mergeCell ref="M6:M7"/>
  </mergeCells>
  <printOptions horizontalCentered="1"/>
  <pageMargins left="0" right="0" top="0.78740157480314965" bottom="1.1811023622047245" header="0.31496062992125984" footer="0.31496062992125984"/>
  <pageSetup scale="52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showGridLines="0" zoomScale="75" zoomScaleNormal="75" workbookViewId="0">
      <selection activeCell="C12" sqref="C12"/>
    </sheetView>
  </sheetViews>
  <sheetFormatPr baseColWidth="10" defaultColWidth="11.42578125" defaultRowHeight="18"/>
  <cols>
    <col min="1" max="1" width="10.7109375" style="3" customWidth="1"/>
    <col min="2" max="2" width="64.7109375" style="3" customWidth="1"/>
    <col min="3" max="3" width="19.28515625" style="3" customWidth="1"/>
    <col min="4" max="9" width="16.42578125" style="3" customWidth="1"/>
    <col min="10" max="10" width="19.28515625" style="3" customWidth="1"/>
    <col min="11" max="11" width="19.28515625" style="87" customWidth="1"/>
    <col min="12" max="12" width="19.28515625" style="3" customWidth="1"/>
    <col min="13" max="13" width="12.7109375" style="3" customWidth="1"/>
    <col min="14" max="14" width="7" style="3" customWidth="1"/>
    <col min="15" max="15" width="19.5703125" style="3" bestFit="1" customWidth="1"/>
    <col min="16" max="16" width="15.42578125" style="3" bestFit="1" customWidth="1"/>
    <col min="17" max="16384" width="11.42578125" style="3"/>
  </cols>
  <sheetData>
    <row r="1" spans="1:1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80"/>
      <c r="L1" s="42"/>
      <c r="M1" s="42"/>
    </row>
    <row r="2" spans="1:1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80"/>
      <c r="L2" s="42"/>
      <c r="M2" s="42"/>
    </row>
    <row r="3" spans="1:15">
      <c r="A3" s="42" t="s">
        <v>149</v>
      </c>
      <c r="B3" s="42"/>
      <c r="C3" s="42"/>
      <c r="D3" s="42"/>
      <c r="E3" s="42"/>
      <c r="F3" s="42"/>
      <c r="G3" s="42"/>
      <c r="H3" s="42"/>
      <c r="I3" s="42"/>
      <c r="J3" s="42"/>
      <c r="K3" s="80"/>
      <c r="L3" s="42"/>
      <c r="M3" s="42"/>
    </row>
    <row r="4" spans="1:15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80"/>
      <c r="L4" s="42"/>
      <c r="M4" s="42"/>
    </row>
    <row r="5" spans="1:15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80"/>
      <c r="L5" s="42"/>
      <c r="M5" s="42"/>
    </row>
    <row r="6" spans="1:15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1" t="s">
        <v>1</v>
      </c>
      <c r="K6" s="188" t="s">
        <v>2</v>
      </c>
      <c r="L6" s="2" t="s">
        <v>27</v>
      </c>
      <c r="M6" s="1" t="s">
        <v>29</v>
      </c>
    </row>
    <row r="7" spans="1:15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4" t="s">
        <v>4</v>
      </c>
      <c r="K7" s="189"/>
      <c r="L7" s="6" t="s">
        <v>28</v>
      </c>
      <c r="M7" s="7" t="s">
        <v>30</v>
      </c>
    </row>
    <row r="8" spans="1:15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81"/>
      <c r="L8" s="74"/>
      <c r="M8" s="43"/>
    </row>
    <row r="9" spans="1:15">
      <c r="A9" s="78"/>
      <c r="B9" s="79"/>
      <c r="C9" s="43"/>
      <c r="D9" s="43"/>
      <c r="E9" s="43"/>
      <c r="F9" s="43"/>
      <c r="G9" s="43"/>
      <c r="H9" s="43"/>
      <c r="I9" s="43"/>
      <c r="J9" s="43"/>
      <c r="K9" s="81"/>
      <c r="L9" s="74"/>
      <c r="M9" s="43"/>
    </row>
    <row r="10" spans="1:15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33">
        <f t="shared" ref="J10:J17" si="0">C10+D10-E10+F10-G10+H10-I10</f>
        <v>656637.59</v>
      </c>
      <c r="K10" s="49">
        <v>0</v>
      </c>
      <c r="L10" s="74">
        <f t="shared" ref="L10:L15" si="1">J10-K10+I10</f>
        <v>656637.59</v>
      </c>
      <c r="M10" s="57">
        <f>K10/K18</f>
        <v>0</v>
      </c>
    </row>
    <row r="11" spans="1:15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33">
        <f t="shared" si="0"/>
        <v>90000</v>
      </c>
      <c r="K11" s="49">
        <f>6885+7250+5010+5735</f>
        <v>24880</v>
      </c>
      <c r="L11" s="72">
        <f t="shared" si="1"/>
        <v>65120</v>
      </c>
      <c r="M11" s="57">
        <f>K11/K18</f>
        <v>5.711541314748602E-2</v>
      </c>
    </row>
    <row r="12" spans="1:15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33">
        <f t="shared" si="0"/>
        <v>4000</v>
      </c>
      <c r="K12" s="49">
        <f>154.29+74.21</f>
        <v>228.5</v>
      </c>
      <c r="L12" s="72">
        <f t="shared" si="1"/>
        <v>3771.5</v>
      </c>
      <c r="M12" s="57">
        <f>K12/K18</f>
        <v>5.245527292685111E-4</v>
      </c>
    </row>
    <row r="13" spans="1:15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33">
        <f t="shared" si="0"/>
        <v>2345924.88</v>
      </c>
      <c r="K13" s="49">
        <f>195493.74+40518.88</f>
        <v>236012.62</v>
      </c>
      <c r="L13" s="72">
        <f t="shared" si="1"/>
        <v>2109912.2599999998</v>
      </c>
      <c r="M13" s="57">
        <f>K13/K18</f>
        <v>0.54179896701449448</v>
      </c>
      <c r="O13" s="58"/>
    </row>
    <row r="14" spans="1:15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33">
        <f t="shared" si="0"/>
        <v>4496358.8600000003</v>
      </c>
      <c r="K14" s="49">
        <v>0</v>
      </c>
      <c r="L14" s="72">
        <f t="shared" si="1"/>
        <v>4496358.8600000003</v>
      </c>
      <c r="M14" s="57">
        <f>K14/K18</f>
        <v>0</v>
      </c>
      <c r="O14" s="58"/>
    </row>
    <row r="15" spans="1:15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33">
        <f t="shared" si="0"/>
        <v>2969280.92</v>
      </c>
      <c r="K15" s="49">
        <v>174488.09</v>
      </c>
      <c r="L15" s="74">
        <f t="shared" si="1"/>
        <v>2794792.83</v>
      </c>
      <c r="M15" s="57">
        <v>0</v>
      </c>
      <c r="O15" s="58"/>
    </row>
    <row r="16" spans="1:15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33">
        <f>C16+D16-E16+F16-G16+H16-I16</f>
        <v>15000</v>
      </c>
      <c r="K16" s="49">
        <v>0</v>
      </c>
      <c r="L16" s="74">
        <f>J16-K16+I16</f>
        <v>15000</v>
      </c>
      <c r="M16" s="57">
        <v>0</v>
      </c>
      <c r="O16" s="58"/>
    </row>
    <row r="17" spans="1:15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33">
        <f t="shared" si="0"/>
        <v>0</v>
      </c>
      <c r="K17" s="49">
        <v>0</v>
      </c>
      <c r="L17" s="75">
        <f>-K17+I17</f>
        <v>0</v>
      </c>
      <c r="M17" s="61">
        <f>K17/K18</f>
        <v>0</v>
      </c>
      <c r="O17" s="58"/>
    </row>
    <row r="18" spans="1:15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4">
        <f>SUM(J10:J17)</f>
        <v>10577202.25</v>
      </c>
      <c r="K18" s="95">
        <f>ROUND((SUM(K10:K17)),2)</f>
        <v>435609.21</v>
      </c>
      <c r="L18" s="94">
        <f>SUM(L10:L17)</f>
        <v>10141593.039999999</v>
      </c>
      <c r="M18" s="96">
        <f>SUM(M17:M17)</f>
        <v>0</v>
      </c>
      <c r="O18" s="58"/>
    </row>
    <row r="19" spans="1:15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82"/>
      <c r="L19" s="43"/>
      <c r="M19" s="43"/>
      <c r="O19" s="58"/>
    </row>
    <row r="20" spans="1:15">
      <c r="A20" s="78" t="s">
        <v>5</v>
      </c>
      <c r="B20" s="79" t="s">
        <v>102</v>
      </c>
      <c r="C20" s="43"/>
      <c r="D20" s="43"/>
      <c r="E20" s="43"/>
      <c r="F20" s="43"/>
      <c r="G20" s="43"/>
      <c r="H20" s="43"/>
      <c r="I20" s="43"/>
      <c r="J20" s="43"/>
      <c r="K20" s="82"/>
      <c r="L20" s="43"/>
      <c r="M20" s="43"/>
      <c r="O20" s="58"/>
    </row>
    <row r="21" spans="1:15">
      <c r="A21" s="23">
        <v>0</v>
      </c>
      <c r="B21" s="23" t="s">
        <v>9</v>
      </c>
      <c r="C21" s="33"/>
      <c r="D21" s="33"/>
      <c r="E21" s="33"/>
      <c r="F21" s="33"/>
      <c r="G21" s="33"/>
      <c r="H21" s="33"/>
      <c r="I21" s="33"/>
      <c r="J21" s="33"/>
      <c r="K21" s="81"/>
      <c r="L21" s="49"/>
      <c r="M21" s="53"/>
      <c r="O21" s="58"/>
    </row>
    <row r="22" spans="1:15">
      <c r="A22" s="19" t="s">
        <v>13</v>
      </c>
      <c r="B22" s="20" t="s">
        <v>79</v>
      </c>
      <c r="C22" s="33">
        <v>669886</v>
      </c>
      <c r="D22" s="33"/>
      <c r="E22" s="33"/>
      <c r="F22" s="33"/>
      <c r="G22" s="33"/>
      <c r="H22" s="33"/>
      <c r="I22" s="33"/>
      <c r="J22" s="33">
        <f t="shared" ref="J22:J69" si="2">C22+D22-E22+F22-G22+H22-I22</f>
        <v>669886</v>
      </c>
      <c r="K22" s="49">
        <v>93982.180000000008</v>
      </c>
      <c r="L22" s="49">
        <f>J22-K22</f>
        <v>575903.81999999995</v>
      </c>
      <c r="M22" s="53">
        <f t="shared" ref="M22:M33" si="3">K22/$K$114</f>
        <v>0.16432332148792139</v>
      </c>
      <c r="O22" s="58"/>
    </row>
    <row r="23" spans="1:15">
      <c r="A23" s="19" t="s">
        <v>31</v>
      </c>
      <c r="B23" s="20" t="s">
        <v>32</v>
      </c>
      <c r="C23" s="33">
        <v>4500</v>
      </c>
      <c r="D23" s="33"/>
      <c r="E23" s="33"/>
      <c r="F23" s="33"/>
      <c r="G23" s="33"/>
      <c r="H23" s="33"/>
      <c r="I23" s="33"/>
      <c r="J23" s="33">
        <f t="shared" si="2"/>
        <v>4500</v>
      </c>
      <c r="K23" s="49">
        <v>750</v>
      </c>
      <c r="L23" s="49">
        <f t="shared" ref="L23:L69" si="4">J23-K23</f>
        <v>3750</v>
      </c>
      <c r="M23" s="53">
        <f t="shared" si="3"/>
        <v>1.3113389274002905E-3</v>
      </c>
      <c r="O23" s="58"/>
    </row>
    <row r="24" spans="1:15">
      <c r="A24" s="19" t="s">
        <v>14</v>
      </c>
      <c r="B24" s="20" t="s">
        <v>38</v>
      </c>
      <c r="C24" s="33">
        <v>112250</v>
      </c>
      <c r="D24" s="33"/>
      <c r="E24" s="33"/>
      <c r="F24" s="33"/>
      <c r="G24" s="33"/>
      <c r="H24" s="33"/>
      <c r="I24" s="33"/>
      <c r="J24" s="33">
        <f t="shared" si="2"/>
        <v>112250</v>
      </c>
      <c r="K24" s="49">
        <v>16250</v>
      </c>
      <c r="L24" s="49">
        <f t="shared" si="4"/>
        <v>96000</v>
      </c>
      <c r="M24" s="53">
        <f t="shared" si="3"/>
        <v>2.8412343427006295E-2</v>
      </c>
      <c r="O24" s="58"/>
    </row>
    <row r="25" spans="1:15" hidden="1">
      <c r="A25" s="121" t="s">
        <v>114</v>
      </c>
      <c r="B25" s="20" t="s">
        <v>115</v>
      </c>
      <c r="C25" s="33"/>
      <c r="D25" s="33"/>
      <c r="E25" s="33"/>
      <c r="F25" s="33"/>
      <c r="G25" s="33"/>
      <c r="H25" s="33"/>
      <c r="I25" s="33"/>
      <c r="J25" s="33">
        <f t="shared" si="2"/>
        <v>0</v>
      </c>
      <c r="K25" s="49"/>
      <c r="L25" s="49">
        <f t="shared" si="4"/>
        <v>0</v>
      </c>
      <c r="M25" s="53">
        <f t="shared" si="3"/>
        <v>0</v>
      </c>
      <c r="O25" s="58"/>
    </row>
    <row r="26" spans="1:15">
      <c r="A26" s="19" t="s">
        <v>116</v>
      </c>
      <c r="B26" s="20" t="s">
        <v>117</v>
      </c>
      <c r="C26" s="33">
        <v>0</v>
      </c>
      <c r="D26" s="33"/>
      <c r="E26" s="33"/>
      <c r="F26" s="33"/>
      <c r="G26" s="33"/>
      <c r="H26" s="33"/>
      <c r="I26" s="33"/>
      <c r="J26" s="33">
        <f t="shared" si="2"/>
        <v>0</v>
      </c>
      <c r="K26" s="49">
        <v>0</v>
      </c>
      <c r="L26" s="49">
        <f t="shared" si="4"/>
        <v>0</v>
      </c>
      <c r="M26" s="53">
        <f t="shared" si="3"/>
        <v>0</v>
      </c>
      <c r="O26" s="58"/>
    </row>
    <row r="27" spans="1:15">
      <c r="A27" s="19" t="s">
        <v>88</v>
      </c>
      <c r="B27" s="20" t="s">
        <v>89</v>
      </c>
      <c r="C27" s="33">
        <v>15400</v>
      </c>
      <c r="D27" s="33"/>
      <c r="E27" s="33"/>
      <c r="F27" s="33"/>
      <c r="G27" s="33"/>
      <c r="H27" s="33"/>
      <c r="I27" s="33"/>
      <c r="J27" s="33">
        <f t="shared" si="2"/>
        <v>15400</v>
      </c>
      <c r="K27" s="49">
        <v>0</v>
      </c>
      <c r="L27" s="49">
        <f t="shared" si="4"/>
        <v>15400</v>
      </c>
      <c r="M27" s="53">
        <f t="shared" si="3"/>
        <v>0</v>
      </c>
      <c r="O27" s="58"/>
    </row>
    <row r="28" spans="1:15">
      <c r="A28" s="19" t="s">
        <v>20</v>
      </c>
      <c r="B28" s="20" t="s">
        <v>21</v>
      </c>
      <c r="C28" s="33">
        <v>31068.6</v>
      </c>
      <c r="D28" s="33"/>
      <c r="E28" s="33"/>
      <c r="F28" s="33"/>
      <c r="G28" s="33"/>
      <c r="H28" s="33"/>
      <c r="I28" s="33"/>
      <c r="J28" s="33">
        <f t="shared" si="2"/>
        <v>31068.6</v>
      </c>
      <c r="K28" s="49">
        <v>2372.08</v>
      </c>
      <c r="L28" s="49">
        <f t="shared" si="4"/>
        <v>28696.519999999997</v>
      </c>
      <c r="M28" s="53">
        <f t="shared" si="3"/>
        <v>4.1474677905435743E-3</v>
      </c>
      <c r="O28" s="58"/>
    </row>
    <row r="29" spans="1:15">
      <c r="A29" s="19" t="s">
        <v>15</v>
      </c>
      <c r="B29" s="20" t="s">
        <v>110</v>
      </c>
      <c r="C29" s="33">
        <v>94901</v>
      </c>
      <c r="D29" s="33"/>
      <c r="E29" s="33"/>
      <c r="F29" s="33"/>
      <c r="G29" s="33"/>
      <c r="H29" s="33"/>
      <c r="I29" s="33"/>
      <c r="J29" s="33">
        <f t="shared" si="2"/>
        <v>94901</v>
      </c>
      <c r="K29" s="49">
        <v>4957.42</v>
      </c>
      <c r="L29" s="49">
        <f t="shared" si="4"/>
        <v>89943.58</v>
      </c>
      <c r="M29" s="53">
        <f t="shared" si="3"/>
        <v>8.6678104339636634E-3</v>
      </c>
      <c r="O29" s="58"/>
    </row>
    <row r="30" spans="1:15">
      <c r="A30" s="19" t="s">
        <v>16</v>
      </c>
      <c r="B30" s="20" t="s">
        <v>111</v>
      </c>
      <c r="C30" s="33">
        <v>8132.05</v>
      </c>
      <c r="D30" s="33"/>
      <c r="E30" s="33"/>
      <c r="F30" s="33"/>
      <c r="G30" s="33"/>
      <c r="H30" s="33"/>
      <c r="I30" s="33"/>
      <c r="J30" s="33">
        <f t="shared" si="2"/>
        <v>8132.05</v>
      </c>
      <c r="K30" s="49">
        <v>464.61</v>
      </c>
      <c r="L30" s="49">
        <f t="shared" si="4"/>
        <v>7667.4400000000005</v>
      </c>
      <c r="M30" s="53">
        <f t="shared" si="3"/>
        <v>8.1234823874593194E-4</v>
      </c>
      <c r="O30" s="58"/>
    </row>
    <row r="31" spans="1:15">
      <c r="A31" s="19" t="s">
        <v>17</v>
      </c>
      <c r="B31" s="21" t="s">
        <v>77</v>
      </c>
      <c r="C31" s="33">
        <v>59303</v>
      </c>
      <c r="D31" s="33"/>
      <c r="E31" s="33"/>
      <c r="F31" s="33"/>
      <c r="G31" s="33"/>
      <c r="H31" s="33"/>
      <c r="I31" s="33"/>
      <c r="J31" s="33">
        <f t="shared" si="2"/>
        <v>59303</v>
      </c>
      <c r="K31" s="49">
        <v>0</v>
      </c>
      <c r="L31" s="49">
        <f t="shared" si="4"/>
        <v>59303</v>
      </c>
      <c r="M31" s="53">
        <f t="shared" si="3"/>
        <v>0</v>
      </c>
      <c r="O31" s="58"/>
    </row>
    <row r="32" spans="1:15">
      <c r="A32" s="19" t="s">
        <v>18</v>
      </c>
      <c r="B32" s="20" t="s">
        <v>80</v>
      </c>
      <c r="C32" s="33">
        <v>59303</v>
      </c>
      <c r="D32" s="33"/>
      <c r="E32" s="33"/>
      <c r="F32" s="33"/>
      <c r="G32" s="33"/>
      <c r="H32" s="33"/>
      <c r="I32" s="33"/>
      <c r="J32" s="33">
        <f t="shared" si="2"/>
        <v>59303</v>
      </c>
      <c r="K32" s="49">
        <v>0</v>
      </c>
      <c r="L32" s="49">
        <f t="shared" si="4"/>
        <v>59303</v>
      </c>
      <c r="M32" s="53">
        <f t="shared" si="3"/>
        <v>0</v>
      </c>
      <c r="O32" s="58"/>
    </row>
    <row r="33" spans="1:15">
      <c r="A33" s="19" t="s">
        <v>19</v>
      </c>
      <c r="B33" s="20" t="s">
        <v>78</v>
      </c>
      <c r="C33" s="33">
        <v>4000</v>
      </c>
      <c r="D33" s="33"/>
      <c r="E33" s="33"/>
      <c r="F33" s="33"/>
      <c r="G33" s="33"/>
      <c r="H33" s="33"/>
      <c r="I33" s="33"/>
      <c r="J33" s="33">
        <f t="shared" si="2"/>
        <v>4000</v>
      </c>
      <c r="K33" s="49">
        <v>0</v>
      </c>
      <c r="L33" s="49">
        <f t="shared" si="4"/>
        <v>4000</v>
      </c>
      <c r="M33" s="53">
        <f t="shared" si="3"/>
        <v>0</v>
      </c>
      <c r="O33" s="58"/>
    </row>
    <row r="34" spans="1:15">
      <c r="A34" s="19"/>
      <c r="B34" s="20"/>
      <c r="C34" s="33"/>
      <c r="D34" s="33"/>
      <c r="E34" s="33"/>
      <c r="F34" s="33"/>
      <c r="G34" s="33"/>
      <c r="H34" s="33"/>
      <c r="I34" s="33"/>
      <c r="J34" s="33"/>
      <c r="K34" s="81"/>
      <c r="L34" s="49"/>
      <c r="M34" s="53"/>
      <c r="O34" s="58"/>
    </row>
    <row r="35" spans="1:15">
      <c r="A35" s="23">
        <v>1</v>
      </c>
      <c r="B35" s="23" t="s">
        <v>10</v>
      </c>
      <c r="C35" s="33"/>
      <c r="D35" s="33"/>
      <c r="E35" s="33"/>
      <c r="F35" s="33"/>
      <c r="G35" s="33"/>
      <c r="H35" s="33"/>
      <c r="I35" s="33"/>
      <c r="J35" s="33"/>
      <c r="K35" s="83"/>
      <c r="L35" s="49"/>
      <c r="M35" s="53"/>
      <c r="O35" s="58"/>
    </row>
    <row r="36" spans="1:15">
      <c r="A36" s="24">
        <v>111</v>
      </c>
      <c r="B36" s="20" t="s">
        <v>39</v>
      </c>
      <c r="C36" s="33">
        <v>13125</v>
      </c>
      <c r="D36" s="33"/>
      <c r="E36" s="33"/>
      <c r="F36" s="33"/>
      <c r="G36" s="33"/>
      <c r="H36" s="33"/>
      <c r="I36" s="33"/>
      <c r="J36" s="33">
        <f t="shared" si="2"/>
        <v>13125</v>
      </c>
      <c r="K36" s="49">
        <v>1317.1599999999999</v>
      </c>
      <c r="L36" s="49">
        <f t="shared" si="4"/>
        <v>11807.84</v>
      </c>
      <c r="M36" s="53">
        <f t="shared" ref="M36:M69" si="5">K36/$K$114</f>
        <v>2.302990908819422E-3</v>
      </c>
      <c r="O36" s="58"/>
    </row>
    <row r="37" spans="1:15">
      <c r="A37" s="24">
        <v>113</v>
      </c>
      <c r="B37" s="20" t="s">
        <v>48</v>
      </c>
      <c r="C37" s="33">
        <v>24780</v>
      </c>
      <c r="D37" s="33"/>
      <c r="E37" s="33"/>
      <c r="F37" s="33"/>
      <c r="G37" s="33"/>
      <c r="H37" s="33"/>
      <c r="I37" s="33"/>
      <c r="J37" s="33">
        <f t="shared" si="2"/>
        <v>24780</v>
      </c>
      <c r="K37" s="49">
        <v>3152</v>
      </c>
      <c r="L37" s="49">
        <f t="shared" si="4"/>
        <v>21628</v>
      </c>
      <c r="M37" s="53">
        <f t="shared" si="5"/>
        <v>5.5111203988876204E-3</v>
      </c>
      <c r="O37" s="58"/>
    </row>
    <row r="38" spans="1:15">
      <c r="A38" s="24">
        <v>114</v>
      </c>
      <c r="B38" s="20" t="s">
        <v>109</v>
      </c>
      <c r="C38" s="33">
        <v>2500</v>
      </c>
      <c r="D38" s="33"/>
      <c r="E38" s="33"/>
      <c r="F38" s="33"/>
      <c r="G38" s="33"/>
      <c r="H38" s="33"/>
      <c r="I38" s="33"/>
      <c r="J38" s="33">
        <f t="shared" si="2"/>
        <v>2500</v>
      </c>
      <c r="K38" s="49">
        <v>513.79</v>
      </c>
      <c r="L38" s="49">
        <f t="shared" si="4"/>
        <v>1986.21</v>
      </c>
      <c r="M38" s="53">
        <f t="shared" si="5"/>
        <v>8.983371033453269E-4</v>
      </c>
      <c r="O38" s="58"/>
    </row>
    <row r="39" spans="1:15">
      <c r="A39" s="24">
        <v>121</v>
      </c>
      <c r="B39" s="20" t="s">
        <v>50</v>
      </c>
      <c r="C39" s="33">
        <v>12250</v>
      </c>
      <c r="D39" s="33"/>
      <c r="E39" s="33"/>
      <c r="F39" s="33"/>
      <c r="G39" s="33"/>
      <c r="H39" s="33"/>
      <c r="I39" s="33"/>
      <c r="J39" s="33">
        <f t="shared" si="2"/>
        <v>12250</v>
      </c>
      <c r="K39" s="49">
        <v>2040</v>
      </c>
      <c r="L39" s="49">
        <f t="shared" si="4"/>
        <v>10210</v>
      </c>
      <c r="M39" s="53">
        <f t="shared" si="5"/>
        <v>3.5668418825287899E-3</v>
      </c>
      <c r="O39" s="58"/>
    </row>
    <row r="40" spans="1:15">
      <c r="A40" s="24">
        <v>122</v>
      </c>
      <c r="B40" s="20" t="s">
        <v>81</v>
      </c>
      <c r="C40" s="33">
        <v>29000</v>
      </c>
      <c r="D40" s="33"/>
      <c r="E40" s="33"/>
      <c r="F40" s="33"/>
      <c r="G40" s="33"/>
      <c r="H40" s="33"/>
      <c r="I40" s="33"/>
      <c r="J40" s="33">
        <f t="shared" si="2"/>
        <v>29000</v>
      </c>
      <c r="K40" s="49">
        <v>16808.5</v>
      </c>
      <c r="L40" s="49">
        <f t="shared" si="4"/>
        <v>12191.5</v>
      </c>
      <c r="M40" s="53">
        <f t="shared" si="5"/>
        <v>2.9388853814943709E-2</v>
      </c>
      <c r="N40" s="63"/>
      <c r="O40" s="58"/>
    </row>
    <row r="41" spans="1:15">
      <c r="A41" s="24">
        <v>131</v>
      </c>
      <c r="B41" s="20" t="s">
        <v>51</v>
      </c>
      <c r="C41" s="33">
        <v>1251963.1500000001</v>
      </c>
      <c r="D41" s="33"/>
      <c r="E41" s="33"/>
      <c r="F41" s="33"/>
      <c r="G41" s="33"/>
      <c r="H41" s="33"/>
      <c r="I41" s="33"/>
      <c r="J41" s="33">
        <f t="shared" si="2"/>
        <v>1251963.1500000001</v>
      </c>
      <c r="K41" s="49">
        <v>225492.84</v>
      </c>
      <c r="L41" s="49">
        <f t="shared" si="4"/>
        <v>1026470.3100000002</v>
      </c>
      <c r="M41" s="53">
        <f t="shared" si="5"/>
        <v>0.39426338525606042</v>
      </c>
      <c r="O41" s="58"/>
    </row>
    <row r="42" spans="1:15">
      <c r="A42" s="24">
        <v>133</v>
      </c>
      <c r="B42" s="20" t="s">
        <v>52</v>
      </c>
      <c r="C42" s="33">
        <v>1500</v>
      </c>
      <c r="D42" s="33"/>
      <c r="E42" s="33"/>
      <c r="F42" s="33"/>
      <c r="G42" s="33"/>
      <c r="H42" s="33"/>
      <c r="I42" s="33"/>
      <c r="J42" s="33">
        <f t="shared" si="2"/>
        <v>1500</v>
      </c>
      <c r="K42" s="49">
        <v>0</v>
      </c>
      <c r="L42" s="49">
        <f t="shared" si="4"/>
        <v>1500</v>
      </c>
      <c r="M42" s="53">
        <f t="shared" si="5"/>
        <v>0</v>
      </c>
      <c r="O42" s="58"/>
    </row>
    <row r="43" spans="1:15" hidden="1">
      <c r="A43" s="120">
        <v>134</v>
      </c>
      <c r="B43" s="20" t="s">
        <v>82</v>
      </c>
      <c r="C43" s="33">
        <v>0</v>
      </c>
      <c r="D43" s="33"/>
      <c r="E43" s="33"/>
      <c r="F43" s="33"/>
      <c r="G43" s="33"/>
      <c r="H43" s="33"/>
      <c r="I43" s="33"/>
      <c r="J43" s="33">
        <f t="shared" si="2"/>
        <v>0</v>
      </c>
      <c r="K43" s="49"/>
      <c r="L43" s="49">
        <f t="shared" si="4"/>
        <v>0</v>
      </c>
      <c r="M43" s="53">
        <f t="shared" si="5"/>
        <v>0</v>
      </c>
      <c r="O43" s="58"/>
    </row>
    <row r="44" spans="1:15">
      <c r="A44" s="24">
        <v>135</v>
      </c>
      <c r="B44" s="20" t="s">
        <v>90</v>
      </c>
      <c r="C44" s="33">
        <v>100840.04999999999</v>
      </c>
      <c r="D44" s="33"/>
      <c r="E44" s="33"/>
      <c r="F44" s="33"/>
      <c r="G44" s="33"/>
      <c r="H44" s="33"/>
      <c r="I44" s="33"/>
      <c r="J44" s="33">
        <f t="shared" si="2"/>
        <v>100840.04999999999</v>
      </c>
      <c r="K44" s="49">
        <v>41772.910000000003</v>
      </c>
      <c r="L44" s="49">
        <f t="shared" si="4"/>
        <v>59067.139999999985</v>
      </c>
      <c r="M44" s="53">
        <f t="shared" si="5"/>
        <v>7.303792399171849E-2</v>
      </c>
      <c r="O44" s="58"/>
    </row>
    <row r="45" spans="1:15">
      <c r="A45" s="24">
        <v>141</v>
      </c>
      <c r="B45" s="20" t="s">
        <v>71</v>
      </c>
      <c r="C45" s="33">
        <v>846850</v>
      </c>
      <c r="D45" s="33"/>
      <c r="E45" s="33"/>
      <c r="F45" s="33"/>
      <c r="G45" s="33"/>
      <c r="H45" s="33"/>
      <c r="I45" s="33"/>
      <c r="J45" s="33">
        <f t="shared" si="2"/>
        <v>846850</v>
      </c>
      <c r="K45" s="49">
        <v>43450</v>
      </c>
      <c r="L45" s="49">
        <f t="shared" si="4"/>
        <v>803400</v>
      </c>
      <c r="M45" s="53">
        <f t="shared" si="5"/>
        <v>7.5970235194056823E-2</v>
      </c>
      <c r="O45" s="58"/>
    </row>
    <row r="46" spans="1:15">
      <c r="A46" s="24">
        <v>142</v>
      </c>
      <c r="B46" s="20" t="s">
        <v>22</v>
      </c>
      <c r="C46" s="33">
        <v>16000</v>
      </c>
      <c r="D46" s="33"/>
      <c r="E46" s="33"/>
      <c r="F46" s="33"/>
      <c r="G46" s="33"/>
      <c r="H46" s="33"/>
      <c r="I46" s="33"/>
      <c r="J46" s="33">
        <f t="shared" si="2"/>
        <v>16000</v>
      </c>
      <c r="K46" s="49">
        <v>0</v>
      </c>
      <c r="L46" s="49">
        <f t="shared" si="4"/>
        <v>16000</v>
      </c>
      <c r="M46" s="53">
        <f t="shared" si="5"/>
        <v>0</v>
      </c>
      <c r="O46" s="58"/>
    </row>
    <row r="47" spans="1:15">
      <c r="A47" s="24">
        <v>143</v>
      </c>
      <c r="B47" s="20" t="s">
        <v>112</v>
      </c>
      <c r="C47" s="33">
        <v>27000</v>
      </c>
      <c r="D47" s="33"/>
      <c r="E47" s="33"/>
      <c r="F47" s="33"/>
      <c r="G47" s="33"/>
      <c r="H47" s="33"/>
      <c r="I47" s="33"/>
      <c r="J47" s="33">
        <f t="shared" si="2"/>
        <v>27000</v>
      </c>
      <c r="K47" s="49">
        <v>0</v>
      </c>
      <c r="L47" s="49">
        <f t="shared" si="4"/>
        <v>27000</v>
      </c>
      <c r="M47" s="53">
        <f t="shared" si="5"/>
        <v>0</v>
      </c>
      <c r="O47" s="58"/>
    </row>
    <row r="48" spans="1:15">
      <c r="A48" s="24">
        <v>151</v>
      </c>
      <c r="B48" s="20" t="s">
        <v>118</v>
      </c>
      <c r="C48" s="33">
        <v>70560</v>
      </c>
      <c r="D48" s="33"/>
      <c r="E48" s="33"/>
      <c r="F48" s="33"/>
      <c r="G48" s="33"/>
      <c r="H48" s="33"/>
      <c r="I48" s="33"/>
      <c r="J48" s="33">
        <f t="shared" si="2"/>
        <v>70560</v>
      </c>
      <c r="K48" s="49">
        <v>11497.5</v>
      </c>
      <c r="L48" s="49">
        <f t="shared" si="4"/>
        <v>59062.5</v>
      </c>
      <c r="M48" s="53">
        <f t="shared" si="5"/>
        <v>2.0102825757046455E-2</v>
      </c>
      <c r="O48" s="58"/>
    </row>
    <row r="49" spans="1:15" hidden="1">
      <c r="A49" s="120">
        <v>155</v>
      </c>
      <c r="B49" s="20" t="s">
        <v>33</v>
      </c>
      <c r="C49" s="33">
        <v>0</v>
      </c>
      <c r="D49" s="33"/>
      <c r="E49" s="33"/>
      <c r="F49" s="33"/>
      <c r="G49" s="33"/>
      <c r="H49" s="33"/>
      <c r="I49" s="33"/>
      <c r="J49" s="33">
        <f t="shared" si="2"/>
        <v>0</v>
      </c>
      <c r="K49" s="49"/>
      <c r="L49" s="49">
        <f t="shared" si="4"/>
        <v>0</v>
      </c>
      <c r="M49" s="53">
        <f t="shared" si="5"/>
        <v>0</v>
      </c>
      <c r="O49" s="58"/>
    </row>
    <row r="50" spans="1:15">
      <c r="A50" s="24">
        <v>158</v>
      </c>
      <c r="B50" s="20" t="s">
        <v>91</v>
      </c>
      <c r="C50" s="33">
        <v>6550</v>
      </c>
      <c r="D50" s="33"/>
      <c r="E50" s="33"/>
      <c r="F50" s="33"/>
      <c r="G50" s="33"/>
      <c r="H50" s="33"/>
      <c r="I50" s="33"/>
      <c r="J50" s="33">
        <f t="shared" si="2"/>
        <v>6550</v>
      </c>
      <c r="K50" s="49">
        <v>0</v>
      </c>
      <c r="L50" s="49">
        <f t="shared" si="4"/>
        <v>6550</v>
      </c>
      <c r="M50" s="53">
        <f t="shared" si="5"/>
        <v>0</v>
      </c>
      <c r="O50" s="58"/>
    </row>
    <row r="51" spans="1:15">
      <c r="A51" s="24">
        <v>162</v>
      </c>
      <c r="B51" s="20" t="s">
        <v>53</v>
      </c>
      <c r="C51" s="33">
        <v>2000</v>
      </c>
      <c r="D51" s="33"/>
      <c r="E51" s="33"/>
      <c r="F51" s="33"/>
      <c r="G51" s="33"/>
      <c r="H51" s="33"/>
      <c r="I51" s="33"/>
      <c r="J51" s="33">
        <f t="shared" si="2"/>
        <v>2000</v>
      </c>
      <c r="K51" s="49">
        <v>0</v>
      </c>
      <c r="L51" s="49">
        <f t="shared" si="4"/>
        <v>2000</v>
      </c>
      <c r="M51" s="53">
        <f t="shared" si="5"/>
        <v>0</v>
      </c>
      <c r="O51" s="58"/>
    </row>
    <row r="52" spans="1:15">
      <c r="A52" s="24">
        <v>164</v>
      </c>
      <c r="B52" s="20" t="s">
        <v>40</v>
      </c>
      <c r="C52" s="33">
        <v>20000</v>
      </c>
      <c r="D52" s="33"/>
      <c r="E52" s="33"/>
      <c r="F52" s="33"/>
      <c r="G52" s="33"/>
      <c r="H52" s="33"/>
      <c r="I52" s="33"/>
      <c r="J52" s="33">
        <f t="shared" si="2"/>
        <v>20000</v>
      </c>
      <c r="K52" s="49">
        <v>0</v>
      </c>
      <c r="L52" s="49">
        <f t="shared" si="4"/>
        <v>20000</v>
      </c>
      <c r="M52" s="53">
        <f t="shared" si="5"/>
        <v>0</v>
      </c>
      <c r="O52" s="58"/>
    </row>
    <row r="53" spans="1:15">
      <c r="A53" s="24">
        <v>165</v>
      </c>
      <c r="B53" s="20" t="s">
        <v>92</v>
      </c>
      <c r="C53" s="33">
        <v>6900</v>
      </c>
      <c r="D53" s="33"/>
      <c r="E53" s="33"/>
      <c r="F53" s="33"/>
      <c r="G53" s="33"/>
      <c r="H53" s="33"/>
      <c r="I53" s="33"/>
      <c r="J53" s="33">
        <f t="shared" si="2"/>
        <v>6900</v>
      </c>
      <c r="K53" s="49">
        <v>1210.7</v>
      </c>
      <c r="L53" s="49">
        <f t="shared" si="4"/>
        <v>5689.3</v>
      </c>
      <c r="M53" s="53">
        <f t="shared" si="5"/>
        <v>2.1168507192047088E-3</v>
      </c>
      <c r="O53" s="58"/>
    </row>
    <row r="54" spans="1:15">
      <c r="A54" s="24">
        <v>168</v>
      </c>
      <c r="B54" s="20" t="s">
        <v>54</v>
      </c>
      <c r="C54" s="33">
        <v>3000</v>
      </c>
      <c r="D54" s="33"/>
      <c r="E54" s="33"/>
      <c r="F54" s="33"/>
      <c r="G54" s="33"/>
      <c r="H54" s="33"/>
      <c r="I54" s="33"/>
      <c r="J54" s="33">
        <f t="shared" si="2"/>
        <v>3000</v>
      </c>
      <c r="K54" s="49">
        <v>0</v>
      </c>
      <c r="L54" s="49">
        <f t="shared" si="4"/>
        <v>3000</v>
      </c>
      <c r="M54" s="53">
        <f t="shared" si="5"/>
        <v>0</v>
      </c>
      <c r="O54" s="58"/>
    </row>
    <row r="55" spans="1:15">
      <c r="A55" s="24">
        <v>174</v>
      </c>
      <c r="B55" s="20" t="s">
        <v>41</v>
      </c>
      <c r="C55" s="33">
        <v>5000</v>
      </c>
      <c r="D55" s="33"/>
      <c r="E55" s="33"/>
      <c r="F55" s="33"/>
      <c r="G55" s="33"/>
      <c r="H55" s="33"/>
      <c r="I55" s="33"/>
      <c r="J55" s="33">
        <f t="shared" si="2"/>
        <v>5000</v>
      </c>
      <c r="K55" s="49">
        <v>0</v>
      </c>
      <c r="L55" s="49">
        <f t="shared" si="4"/>
        <v>5000</v>
      </c>
      <c r="M55" s="53">
        <f t="shared" si="5"/>
        <v>0</v>
      </c>
      <c r="O55" s="58"/>
    </row>
    <row r="56" spans="1:15">
      <c r="A56" s="24">
        <v>181</v>
      </c>
      <c r="B56" s="20" t="s">
        <v>139</v>
      </c>
      <c r="C56" s="33">
        <v>158000</v>
      </c>
      <c r="D56" s="33"/>
      <c r="E56" s="33"/>
      <c r="F56" s="33"/>
      <c r="G56" s="33"/>
      <c r="H56" s="33"/>
      <c r="I56" s="33"/>
      <c r="J56" s="33">
        <f t="shared" si="2"/>
        <v>158000</v>
      </c>
      <c r="K56" s="49">
        <v>0</v>
      </c>
      <c r="L56" s="49">
        <f t="shared" si="4"/>
        <v>158000</v>
      </c>
      <c r="M56" s="53">
        <f t="shared" si="5"/>
        <v>0</v>
      </c>
      <c r="O56" s="58"/>
    </row>
    <row r="57" spans="1:15" hidden="1">
      <c r="A57" s="120">
        <v>182</v>
      </c>
      <c r="B57" s="20" t="s">
        <v>56</v>
      </c>
      <c r="C57" s="33">
        <v>0</v>
      </c>
      <c r="D57" s="33"/>
      <c r="E57" s="33"/>
      <c r="F57" s="33"/>
      <c r="G57" s="33"/>
      <c r="H57" s="33"/>
      <c r="I57" s="33"/>
      <c r="J57" s="33">
        <f t="shared" si="2"/>
        <v>0</v>
      </c>
      <c r="K57" s="49"/>
      <c r="L57" s="49">
        <f t="shared" si="4"/>
        <v>0</v>
      </c>
      <c r="M57" s="53">
        <f t="shared" si="5"/>
        <v>0</v>
      </c>
      <c r="O57" s="58"/>
    </row>
    <row r="58" spans="1:15">
      <c r="A58" s="24">
        <v>183</v>
      </c>
      <c r="B58" s="20" t="s">
        <v>93</v>
      </c>
      <c r="C58" s="33">
        <v>85000</v>
      </c>
      <c r="D58" s="33"/>
      <c r="E58" s="33"/>
      <c r="F58" s="33"/>
      <c r="G58" s="33"/>
      <c r="H58" s="33"/>
      <c r="I58" s="33"/>
      <c r="J58" s="33">
        <f t="shared" si="2"/>
        <v>85000</v>
      </c>
      <c r="K58" s="49">
        <v>9650</v>
      </c>
      <c r="L58" s="49">
        <f t="shared" si="4"/>
        <v>75350</v>
      </c>
      <c r="M58" s="53">
        <f t="shared" si="5"/>
        <v>1.6872560865883738E-2</v>
      </c>
      <c r="O58" s="58"/>
    </row>
    <row r="59" spans="1:15">
      <c r="A59" s="24">
        <v>184</v>
      </c>
      <c r="B59" s="20" t="s">
        <v>94</v>
      </c>
      <c r="C59" s="33">
        <v>50000</v>
      </c>
      <c r="D59" s="33"/>
      <c r="E59" s="33"/>
      <c r="F59" s="33"/>
      <c r="G59" s="33"/>
      <c r="H59" s="33"/>
      <c r="I59" s="33"/>
      <c r="J59" s="33">
        <f t="shared" si="2"/>
        <v>50000</v>
      </c>
      <c r="K59" s="49">
        <v>7821.43</v>
      </c>
      <c r="L59" s="49">
        <f t="shared" si="4"/>
        <v>42178.57</v>
      </c>
      <c r="M59" s="53">
        <f t="shared" si="5"/>
        <v>1.3675394169248605E-2</v>
      </c>
      <c r="O59" s="58"/>
    </row>
    <row r="60" spans="1:15">
      <c r="A60" s="24">
        <v>185</v>
      </c>
      <c r="B60" s="20" t="s">
        <v>95</v>
      </c>
      <c r="C60" s="33">
        <v>15000</v>
      </c>
      <c r="D60" s="33"/>
      <c r="E60" s="33"/>
      <c r="F60" s="33"/>
      <c r="G60" s="33"/>
      <c r="H60" s="33"/>
      <c r="I60" s="33"/>
      <c r="J60" s="33">
        <f t="shared" si="2"/>
        <v>15000</v>
      </c>
      <c r="K60" s="49">
        <v>1518</v>
      </c>
      <c r="L60" s="49">
        <f t="shared" si="4"/>
        <v>13482</v>
      </c>
      <c r="M60" s="53">
        <f t="shared" si="5"/>
        <v>2.654149989058188E-3</v>
      </c>
      <c r="O60" s="58"/>
    </row>
    <row r="61" spans="1:15">
      <c r="A61" s="24">
        <v>186</v>
      </c>
      <c r="B61" s="20" t="s">
        <v>42</v>
      </c>
      <c r="C61" s="33">
        <v>2000</v>
      </c>
      <c r="D61" s="33"/>
      <c r="E61" s="33"/>
      <c r="F61" s="33"/>
      <c r="G61" s="33"/>
      <c r="H61" s="33"/>
      <c r="I61" s="33"/>
      <c r="J61" s="33">
        <f t="shared" si="2"/>
        <v>2000</v>
      </c>
      <c r="K61" s="49">
        <v>555</v>
      </c>
      <c r="L61" s="49">
        <f t="shared" si="4"/>
        <v>1445</v>
      </c>
      <c r="M61" s="53">
        <f t="shared" si="5"/>
        <v>9.7039080627621497E-4</v>
      </c>
      <c r="O61" s="58"/>
    </row>
    <row r="62" spans="1:15">
      <c r="A62" s="24">
        <v>187</v>
      </c>
      <c r="B62" s="20" t="s">
        <v>96</v>
      </c>
      <c r="C62" s="33">
        <v>20000</v>
      </c>
      <c r="D62" s="33"/>
      <c r="E62" s="33"/>
      <c r="F62" s="33"/>
      <c r="G62" s="33"/>
      <c r="H62" s="33"/>
      <c r="I62" s="33"/>
      <c r="J62" s="33">
        <f t="shared" si="2"/>
        <v>20000</v>
      </c>
      <c r="K62" s="49">
        <v>1600</v>
      </c>
      <c r="L62" s="49">
        <f t="shared" si="4"/>
        <v>18400</v>
      </c>
      <c r="M62" s="53">
        <f t="shared" si="5"/>
        <v>2.7975230451206196E-3</v>
      </c>
      <c r="O62" s="58"/>
    </row>
    <row r="63" spans="1:15">
      <c r="A63" s="24">
        <v>188</v>
      </c>
      <c r="B63" s="20" t="s">
        <v>97</v>
      </c>
      <c r="C63" s="33">
        <v>60000</v>
      </c>
      <c r="D63" s="33"/>
      <c r="E63" s="33"/>
      <c r="F63" s="33"/>
      <c r="G63" s="33"/>
      <c r="H63" s="33"/>
      <c r="I63" s="33"/>
      <c r="J63" s="33">
        <f t="shared" si="2"/>
        <v>60000</v>
      </c>
      <c r="K63" s="49">
        <v>0</v>
      </c>
      <c r="L63" s="49">
        <f t="shared" si="4"/>
        <v>60000</v>
      </c>
      <c r="M63" s="53">
        <f t="shared" si="5"/>
        <v>0</v>
      </c>
      <c r="O63" s="58"/>
    </row>
    <row r="64" spans="1:15">
      <c r="A64" s="24">
        <v>189</v>
      </c>
      <c r="B64" s="20" t="s">
        <v>98</v>
      </c>
      <c r="C64" s="33">
        <v>285000</v>
      </c>
      <c r="D64" s="33"/>
      <c r="E64" s="33"/>
      <c r="F64" s="33"/>
      <c r="G64" s="33"/>
      <c r="H64" s="33"/>
      <c r="I64" s="33"/>
      <c r="J64" s="33">
        <f t="shared" si="2"/>
        <v>285000</v>
      </c>
      <c r="K64" s="49">
        <v>26662.86</v>
      </c>
      <c r="L64" s="49">
        <f t="shared" si="4"/>
        <v>258337.14</v>
      </c>
      <c r="M64" s="53">
        <f t="shared" si="5"/>
        <v>4.661872831176548E-2</v>
      </c>
      <c r="O64" s="58"/>
    </row>
    <row r="65" spans="1:16">
      <c r="A65" s="24">
        <v>191</v>
      </c>
      <c r="B65" s="20" t="s">
        <v>99</v>
      </c>
      <c r="C65" s="33">
        <v>11250</v>
      </c>
      <c r="D65" s="33"/>
      <c r="E65" s="33"/>
      <c r="F65" s="76"/>
      <c r="G65" s="33"/>
      <c r="H65" s="33"/>
      <c r="I65" s="33"/>
      <c r="J65" s="33">
        <f t="shared" si="2"/>
        <v>11250</v>
      </c>
      <c r="K65" s="49">
        <v>0</v>
      </c>
      <c r="L65" s="49">
        <f t="shared" si="4"/>
        <v>11250</v>
      </c>
      <c r="M65" s="53">
        <f t="shared" si="5"/>
        <v>0</v>
      </c>
      <c r="O65" s="58"/>
    </row>
    <row r="66" spans="1:16">
      <c r="A66" s="24">
        <v>194</v>
      </c>
      <c r="B66" s="20" t="s">
        <v>148</v>
      </c>
      <c r="C66" s="33">
        <v>5000</v>
      </c>
      <c r="D66" s="33"/>
      <c r="E66" s="33"/>
      <c r="F66" s="33"/>
      <c r="G66" s="33"/>
      <c r="H66" s="33"/>
      <c r="I66" s="33"/>
      <c r="J66" s="33">
        <f t="shared" si="2"/>
        <v>5000</v>
      </c>
      <c r="K66" s="49">
        <v>82.850000000000009</v>
      </c>
      <c r="L66" s="49">
        <f t="shared" si="4"/>
        <v>4917.1499999999996</v>
      </c>
      <c r="M66" s="53">
        <f t="shared" si="5"/>
        <v>1.4485924018015211E-4</v>
      </c>
      <c r="O66" s="58"/>
    </row>
    <row r="67" spans="1:16">
      <c r="A67" s="24">
        <v>195</v>
      </c>
      <c r="B67" s="20" t="s">
        <v>34</v>
      </c>
      <c r="C67" s="33">
        <v>10000</v>
      </c>
      <c r="D67" s="33"/>
      <c r="E67" s="33"/>
      <c r="F67" s="33"/>
      <c r="G67" s="33"/>
      <c r="H67" s="33"/>
      <c r="I67" s="33"/>
      <c r="J67" s="33">
        <f t="shared" si="2"/>
        <v>10000</v>
      </c>
      <c r="K67" s="49">
        <v>189</v>
      </c>
      <c r="L67" s="49">
        <f t="shared" si="4"/>
        <v>9811</v>
      </c>
      <c r="M67" s="53">
        <f t="shared" si="5"/>
        <v>3.304574097048732E-4</v>
      </c>
      <c r="O67" s="58"/>
    </row>
    <row r="68" spans="1:16">
      <c r="A68" s="24">
        <v>196</v>
      </c>
      <c r="B68" s="20" t="s">
        <v>100</v>
      </c>
      <c r="C68" s="33">
        <v>20000</v>
      </c>
      <c r="D68" s="33"/>
      <c r="E68" s="33"/>
      <c r="F68" s="33"/>
      <c r="G68" s="33"/>
      <c r="H68" s="33"/>
      <c r="I68" s="33"/>
      <c r="J68" s="33">
        <f t="shared" si="2"/>
        <v>20000</v>
      </c>
      <c r="K68" s="49">
        <v>0</v>
      </c>
      <c r="L68" s="49">
        <f t="shared" si="4"/>
        <v>20000</v>
      </c>
      <c r="M68" s="53">
        <f t="shared" si="5"/>
        <v>0</v>
      </c>
      <c r="O68" s="58"/>
    </row>
    <row r="69" spans="1:16">
      <c r="A69" s="24">
        <v>199</v>
      </c>
      <c r="B69" s="20" t="s">
        <v>55</v>
      </c>
      <c r="C69" s="33">
        <v>25000</v>
      </c>
      <c r="D69" s="33"/>
      <c r="E69" s="33"/>
      <c r="F69" s="33"/>
      <c r="G69" s="33"/>
      <c r="H69" s="33"/>
      <c r="I69" s="33"/>
      <c r="J69" s="33">
        <f t="shared" si="2"/>
        <v>25000</v>
      </c>
      <c r="K69" s="49">
        <v>193</v>
      </c>
      <c r="L69" s="49">
        <f t="shared" si="4"/>
        <v>24807</v>
      </c>
      <c r="M69" s="53">
        <f t="shared" si="5"/>
        <v>3.3745121731767477E-4</v>
      </c>
      <c r="O69" s="58"/>
    </row>
    <row r="70" spans="1:16">
      <c r="A70" s="24"/>
      <c r="B70" s="20"/>
      <c r="C70" s="33"/>
      <c r="D70" s="33"/>
      <c r="E70" s="33"/>
      <c r="F70" s="33"/>
      <c r="G70" s="33"/>
      <c r="H70" s="33"/>
      <c r="I70" s="33"/>
      <c r="J70" s="33"/>
      <c r="K70" s="81"/>
      <c r="L70" s="49"/>
      <c r="M70" s="53"/>
      <c r="O70" s="58"/>
    </row>
    <row r="71" spans="1:16">
      <c r="A71" s="23">
        <v>2</v>
      </c>
      <c r="B71" s="23" t="s">
        <v>11</v>
      </c>
      <c r="C71" s="33"/>
      <c r="D71" s="33"/>
      <c r="E71" s="33"/>
      <c r="F71" s="33"/>
      <c r="G71" s="33"/>
      <c r="H71" s="33"/>
      <c r="I71" s="33"/>
      <c r="J71" s="33"/>
      <c r="K71" s="83"/>
      <c r="L71" s="49"/>
      <c r="M71" s="53"/>
      <c r="O71" s="58"/>
    </row>
    <row r="72" spans="1:16">
      <c r="A72" s="24">
        <v>211</v>
      </c>
      <c r="B72" s="20" t="s">
        <v>23</v>
      </c>
      <c r="C72" s="33">
        <v>111400</v>
      </c>
      <c r="D72" s="33"/>
      <c r="E72" s="33"/>
      <c r="F72" s="33"/>
      <c r="G72" s="33"/>
      <c r="H72" s="33"/>
      <c r="I72" s="33"/>
      <c r="J72" s="33">
        <f t="shared" ref="J72:J97" si="6">C72+D72-E72+F72-G72+H72-I72</f>
        <v>111400</v>
      </c>
      <c r="K72" s="49">
        <v>10758.85</v>
      </c>
      <c r="L72" s="49">
        <f t="shared" ref="L72:L97" si="7">J72-K72</f>
        <v>100641.15</v>
      </c>
      <c r="M72" s="53">
        <f t="shared" ref="M72:M97" si="8">K72/$K$114</f>
        <v>1.8811331758747489E-2</v>
      </c>
      <c r="O72" s="58"/>
    </row>
    <row r="73" spans="1:16" hidden="1">
      <c r="A73" s="120">
        <v>219</v>
      </c>
      <c r="B73" s="20" t="s">
        <v>24</v>
      </c>
      <c r="C73" s="33">
        <v>0</v>
      </c>
      <c r="D73" s="33"/>
      <c r="E73" s="33"/>
      <c r="F73" s="33"/>
      <c r="G73" s="33"/>
      <c r="H73" s="33"/>
      <c r="I73" s="33"/>
      <c r="J73" s="33">
        <f t="shared" si="6"/>
        <v>0</v>
      </c>
      <c r="K73" s="49"/>
      <c r="L73" s="49">
        <f t="shared" si="7"/>
        <v>0</v>
      </c>
      <c r="M73" s="53">
        <f t="shared" si="8"/>
        <v>0</v>
      </c>
      <c r="O73" s="58"/>
    </row>
    <row r="74" spans="1:16">
      <c r="A74" s="24">
        <v>232</v>
      </c>
      <c r="B74" s="20" t="s">
        <v>57</v>
      </c>
      <c r="C74" s="33">
        <v>1080</v>
      </c>
      <c r="D74" s="33"/>
      <c r="E74" s="33"/>
      <c r="F74" s="33"/>
      <c r="G74" s="33"/>
      <c r="H74" s="33"/>
      <c r="I74" s="33"/>
      <c r="J74" s="33">
        <f t="shared" si="6"/>
        <v>1080</v>
      </c>
      <c r="K74" s="49">
        <v>160</v>
      </c>
      <c r="L74" s="49">
        <f t="shared" si="7"/>
        <v>920</v>
      </c>
      <c r="M74" s="53">
        <f t="shared" si="8"/>
        <v>2.7975230451206197E-4</v>
      </c>
      <c r="O74" s="58"/>
    </row>
    <row r="75" spans="1:16">
      <c r="A75" s="24">
        <v>233</v>
      </c>
      <c r="B75" s="20" t="s">
        <v>70</v>
      </c>
      <c r="C75" s="33">
        <v>58000</v>
      </c>
      <c r="D75" s="33"/>
      <c r="E75" s="33"/>
      <c r="F75" s="33"/>
      <c r="G75" s="33"/>
      <c r="H75" s="33"/>
      <c r="I75" s="33"/>
      <c r="J75" s="33">
        <f t="shared" si="6"/>
        <v>58000</v>
      </c>
      <c r="K75" s="49">
        <v>0</v>
      </c>
      <c r="L75" s="49">
        <f t="shared" si="7"/>
        <v>58000</v>
      </c>
      <c r="M75" s="53">
        <f t="shared" si="8"/>
        <v>0</v>
      </c>
      <c r="O75" s="58"/>
      <c r="P75" s="87"/>
    </row>
    <row r="76" spans="1:16">
      <c r="A76" s="24">
        <v>241</v>
      </c>
      <c r="B76" s="20" t="s">
        <v>58</v>
      </c>
      <c r="C76" s="33">
        <v>6000</v>
      </c>
      <c r="D76" s="33"/>
      <c r="E76" s="33"/>
      <c r="F76" s="33"/>
      <c r="G76" s="33"/>
      <c r="H76" s="33"/>
      <c r="I76" s="33"/>
      <c r="J76" s="33">
        <f t="shared" si="6"/>
        <v>6000</v>
      </c>
      <c r="K76" s="49">
        <v>681</v>
      </c>
      <c r="L76" s="49">
        <f t="shared" si="7"/>
        <v>5319</v>
      </c>
      <c r="M76" s="53">
        <f t="shared" si="8"/>
        <v>1.1906957460794637E-3</v>
      </c>
      <c r="O76" s="58"/>
      <c r="P76" s="87"/>
    </row>
    <row r="77" spans="1:16">
      <c r="A77" s="24">
        <v>243</v>
      </c>
      <c r="B77" s="20" t="s">
        <v>43</v>
      </c>
      <c r="C77" s="33">
        <v>1100</v>
      </c>
      <c r="D77" s="33"/>
      <c r="E77" s="33"/>
      <c r="F77" s="33"/>
      <c r="G77" s="33"/>
      <c r="H77" s="33"/>
      <c r="I77" s="33"/>
      <c r="J77" s="33">
        <f t="shared" si="6"/>
        <v>1100</v>
      </c>
      <c r="K77" s="49">
        <v>290</v>
      </c>
      <c r="L77" s="49">
        <f t="shared" si="7"/>
        <v>810</v>
      </c>
      <c r="M77" s="53">
        <f t="shared" si="8"/>
        <v>5.0705105192811232E-4</v>
      </c>
      <c r="O77" s="58"/>
    </row>
    <row r="78" spans="1:16">
      <c r="A78" s="24">
        <v>244</v>
      </c>
      <c r="B78" s="20" t="s">
        <v>44</v>
      </c>
      <c r="C78" s="33">
        <v>2255</v>
      </c>
      <c r="D78" s="33"/>
      <c r="E78" s="33"/>
      <c r="F78" s="33"/>
      <c r="G78" s="33"/>
      <c r="H78" s="33"/>
      <c r="I78" s="33"/>
      <c r="J78" s="33">
        <f t="shared" si="6"/>
        <v>2255</v>
      </c>
      <c r="K78" s="49">
        <v>380.2</v>
      </c>
      <c r="L78" s="49">
        <f t="shared" si="7"/>
        <v>1874.8</v>
      </c>
      <c r="M78" s="53">
        <f t="shared" si="8"/>
        <v>6.6476141359678718E-4</v>
      </c>
      <c r="O78" s="58"/>
    </row>
    <row r="79" spans="1:16">
      <c r="A79" s="24">
        <v>245</v>
      </c>
      <c r="B79" s="20" t="s">
        <v>45</v>
      </c>
      <c r="C79" s="33">
        <v>1300</v>
      </c>
      <c r="D79" s="33"/>
      <c r="E79" s="33"/>
      <c r="F79" s="33"/>
      <c r="G79" s="33"/>
      <c r="H79" s="33"/>
      <c r="I79" s="33"/>
      <c r="J79" s="33">
        <f t="shared" si="6"/>
        <v>1300</v>
      </c>
      <c r="K79" s="49">
        <v>0</v>
      </c>
      <c r="L79" s="49">
        <f t="shared" si="7"/>
        <v>1300</v>
      </c>
      <c r="M79" s="53">
        <f t="shared" si="8"/>
        <v>0</v>
      </c>
      <c r="O79" s="58"/>
    </row>
    <row r="80" spans="1:16">
      <c r="A80" s="24">
        <v>253</v>
      </c>
      <c r="B80" s="20" t="s">
        <v>37</v>
      </c>
      <c r="C80" s="33">
        <v>7500</v>
      </c>
      <c r="D80" s="33"/>
      <c r="E80" s="33"/>
      <c r="F80" s="33"/>
      <c r="G80" s="33"/>
      <c r="H80" s="33"/>
      <c r="I80" s="33"/>
      <c r="J80" s="33">
        <f t="shared" si="6"/>
        <v>7500</v>
      </c>
      <c r="K80" s="49">
        <v>0</v>
      </c>
      <c r="L80" s="49">
        <f t="shared" si="7"/>
        <v>7500</v>
      </c>
      <c r="M80" s="53">
        <f t="shared" si="8"/>
        <v>0</v>
      </c>
      <c r="O80" s="58"/>
    </row>
    <row r="81" spans="1:15">
      <c r="A81" s="24">
        <v>254</v>
      </c>
      <c r="B81" s="20" t="s">
        <v>46</v>
      </c>
      <c r="C81" s="33">
        <v>750</v>
      </c>
      <c r="D81" s="33"/>
      <c r="E81" s="33"/>
      <c r="F81" s="33"/>
      <c r="G81" s="33"/>
      <c r="H81" s="33"/>
      <c r="I81" s="33"/>
      <c r="J81" s="33">
        <f t="shared" si="6"/>
        <v>750</v>
      </c>
      <c r="K81" s="49">
        <v>0</v>
      </c>
      <c r="L81" s="49">
        <f t="shared" si="7"/>
        <v>750</v>
      </c>
      <c r="M81" s="53">
        <f t="shared" si="8"/>
        <v>0</v>
      </c>
      <c r="O81" s="58"/>
    </row>
    <row r="82" spans="1:15">
      <c r="A82" s="24">
        <v>262</v>
      </c>
      <c r="B82" s="20" t="s">
        <v>59</v>
      </c>
      <c r="C82" s="33">
        <v>9770</v>
      </c>
      <c r="D82" s="33"/>
      <c r="E82" s="33"/>
      <c r="F82" s="33"/>
      <c r="G82" s="33"/>
      <c r="H82" s="33"/>
      <c r="I82" s="33"/>
      <c r="J82" s="33">
        <f t="shared" si="6"/>
        <v>9770</v>
      </c>
      <c r="K82" s="49">
        <v>1816.96</v>
      </c>
      <c r="L82" s="49">
        <f t="shared" si="7"/>
        <v>7953.04</v>
      </c>
      <c r="M82" s="53">
        <f t="shared" si="8"/>
        <v>3.1768671700389758E-3</v>
      </c>
      <c r="O82" s="58"/>
    </row>
    <row r="83" spans="1:15">
      <c r="A83" s="24">
        <v>266</v>
      </c>
      <c r="B83" s="20" t="s">
        <v>60</v>
      </c>
      <c r="C83" s="33">
        <v>600</v>
      </c>
      <c r="D83" s="33"/>
      <c r="E83" s="33"/>
      <c r="F83" s="33"/>
      <c r="G83" s="33"/>
      <c r="H83" s="33"/>
      <c r="I83" s="33"/>
      <c r="J83" s="33">
        <f t="shared" si="6"/>
        <v>600</v>
      </c>
      <c r="K83" s="49">
        <v>0</v>
      </c>
      <c r="L83" s="49">
        <f t="shared" si="7"/>
        <v>600</v>
      </c>
      <c r="M83" s="53">
        <f t="shared" si="8"/>
        <v>0</v>
      </c>
      <c r="O83" s="58"/>
    </row>
    <row r="84" spans="1:15">
      <c r="A84" s="24">
        <v>267</v>
      </c>
      <c r="B84" s="20" t="s">
        <v>86</v>
      </c>
      <c r="C84" s="33">
        <v>22000</v>
      </c>
      <c r="D84" s="33"/>
      <c r="E84" s="33"/>
      <c r="F84" s="33"/>
      <c r="G84" s="33"/>
      <c r="H84" s="33"/>
      <c r="I84" s="33"/>
      <c r="J84" s="33">
        <f t="shared" si="6"/>
        <v>22000</v>
      </c>
      <c r="K84" s="49">
        <v>1943</v>
      </c>
      <c r="L84" s="49">
        <f t="shared" si="7"/>
        <v>20057</v>
      </c>
      <c r="M84" s="53">
        <f t="shared" si="8"/>
        <v>3.3972420479183524E-3</v>
      </c>
      <c r="O84" s="58"/>
    </row>
    <row r="85" spans="1:15">
      <c r="A85" s="24">
        <v>268</v>
      </c>
      <c r="B85" s="20" t="s">
        <v>61</v>
      </c>
      <c r="C85" s="33">
        <v>794</v>
      </c>
      <c r="D85" s="33"/>
      <c r="E85" s="33"/>
      <c r="F85" s="33"/>
      <c r="G85" s="33"/>
      <c r="H85" s="33"/>
      <c r="I85" s="33"/>
      <c r="J85" s="33">
        <f t="shared" si="6"/>
        <v>794</v>
      </c>
      <c r="K85" s="49">
        <v>681.35</v>
      </c>
      <c r="L85" s="49">
        <f t="shared" si="7"/>
        <v>112.64999999999998</v>
      </c>
      <c r="M85" s="53">
        <f t="shared" si="8"/>
        <v>1.1913077042455839E-3</v>
      </c>
      <c r="O85" s="58"/>
    </row>
    <row r="86" spans="1:15">
      <c r="A86" s="24">
        <v>269</v>
      </c>
      <c r="B86" s="20" t="s">
        <v>62</v>
      </c>
      <c r="C86" s="33">
        <v>500</v>
      </c>
      <c r="D86" s="33"/>
      <c r="E86" s="33"/>
      <c r="F86" s="33"/>
      <c r="G86" s="33"/>
      <c r="H86" s="33"/>
      <c r="I86" s="33"/>
      <c r="J86" s="33">
        <f t="shared" si="6"/>
        <v>500</v>
      </c>
      <c r="K86" s="49">
        <v>0</v>
      </c>
      <c r="L86" s="49">
        <f t="shared" si="7"/>
        <v>500</v>
      </c>
      <c r="M86" s="53">
        <f t="shared" si="8"/>
        <v>0</v>
      </c>
      <c r="O86" s="58"/>
    </row>
    <row r="87" spans="1:15">
      <c r="A87" s="24">
        <v>271</v>
      </c>
      <c r="B87" s="20" t="s">
        <v>63</v>
      </c>
      <c r="C87" s="33">
        <v>160800</v>
      </c>
      <c r="D87" s="33"/>
      <c r="E87" s="33"/>
      <c r="F87" s="33"/>
      <c r="G87" s="33"/>
      <c r="H87" s="33"/>
      <c r="I87" s="33"/>
      <c r="J87" s="33">
        <f t="shared" si="6"/>
        <v>160800</v>
      </c>
      <c r="K87" s="49">
        <v>0</v>
      </c>
      <c r="L87" s="49">
        <f t="shared" si="7"/>
        <v>160800</v>
      </c>
      <c r="M87" s="53">
        <f t="shared" si="8"/>
        <v>0</v>
      </c>
      <c r="O87" s="58"/>
    </row>
    <row r="88" spans="1:15">
      <c r="A88" s="24">
        <v>283</v>
      </c>
      <c r="B88" s="20" t="s">
        <v>64</v>
      </c>
      <c r="C88" s="33">
        <v>1000</v>
      </c>
      <c r="D88" s="33"/>
      <c r="E88" s="33"/>
      <c r="F88" s="33"/>
      <c r="G88" s="33"/>
      <c r="H88" s="33"/>
      <c r="I88" s="33"/>
      <c r="J88" s="33">
        <f t="shared" si="6"/>
        <v>1000</v>
      </c>
      <c r="K88" s="49">
        <v>9</v>
      </c>
      <c r="L88" s="49">
        <f t="shared" si="7"/>
        <v>991</v>
      </c>
      <c r="M88" s="53">
        <f t="shared" si="8"/>
        <v>1.5736067128803485E-5</v>
      </c>
      <c r="O88" s="58"/>
    </row>
    <row r="89" spans="1:15">
      <c r="A89" s="24">
        <v>284</v>
      </c>
      <c r="B89" s="20" t="s">
        <v>47</v>
      </c>
      <c r="C89" s="33">
        <v>7500</v>
      </c>
      <c r="D89" s="33"/>
      <c r="E89" s="33"/>
      <c r="F89" s="33"/>
      <c r="G89" s="33"/>
      <c r="H89" s="33"/>
      <c r="I89" s="33"/>
      <c r="J89" s="33">
        <f t="shared" si="6"/>
        <v>7500</v>
      </c>
      <c r="K89" s="49">
        <v>0</v>
      </c>
      <c r="L89" s="49">
        <f t="shared" si="7"/>
        <v>7500</v>
      </c>
      <c r="M89" s="53">
        <f t="shared" si="8"/>
        <v>0</v>
      </c>
      <c r="O89" s="58"/>
    </row>
    <row r="90" spans="1:15">
      <c r="A90" s="24">
        <v>285</v>
      </c>
      <c r="B90" s="20" t="s">
        <v>113</v>
      </c>
      <c r="C90" s="33">
        <v>807000</v>
      </c>
      <c r="D90" s="33"/>
      <c r="E90" s="33"/>
      <c r="F90" s="33"/>
      <c r="G90" s="33"/>
      <c r="H90" s="33"/>
      <c r="I90" s="33"/>
      <c r="J90" s="33">
        <f t="shared" si="6"/>
        <v>807000</v>
      </c>
      <c r="K90" s="49">
        <v>0</v>
      </c>
      <c r="L90" s="49">
        <f t="shared" si="7"/>
        <v>807000</v>
      </c>
      <c r="M90" s="53">
        <f t="shared" si="8"/>
        <v>0</v>
      </c>
      <c r="O90" s="58"/>
    </row>
    <row r="91" spans="1:15">
      <c r="A91" s="24">
        <v>291</v>
      </c>
      <c r="B91" s="20" t="s">
        <v>65</v>
      </c>
      <c r="C91" s="33">
        <v>9000</v>
      </c>
      <c r="D91" s="33"/>
      <c r="E91" s="33"/>
      <c r="F91" s="33"/>
      <c r="G91" s="33"/>
      <c r="H91" s="33"/>
      <c r="I91" s="33"/>
      <c r="J91" s="33">
        <f t="shared" si="6"/>
        <v>9000</v>
      </c>
      <c r="K91" s="49">
        <v>713.79</v>
      </c>
      <c r="L91" s="49">
        <f t="shared" si="7"/>
        <v>8286.2099999999991</v>
      </c>
      <c r="M91" s="53">
        <f t="shared" si="8"/>
        <v>1.2480274839854043E-3</v>
      </c>
      <c r="O91" s="58"/>
    </row>
    <row r="92" spans="1:15">
      <c r="A92" s="24">
        <v>292</v>
      </c>
      <c r="B92" s="20" t="s">
        <v>66</v>
      </c>
      <c r="C92" s="33">
        <v>1800</v>
      </c>
      <c r="D92" s="33"/>
      <c r="E92" s="33"/>
      <c r="F92" s="33"/>
      <c r="G92" s="33"/>
      <c r="H92" s="33"/>
      <c r="I92" s="33"/>
      <c r="J92" s="33">
        <f t="shared" si="6"/>
        <v>1800</v>
      </c>
      <c r="K92" s="49">
        <v>136.69999999999999</v>
      </c>
      <c r="L92" s="49">
        <f t="shared" si="7"/>
        <v>1663.3</v>
      </c>
      <c r="M92" s="53">
        <f t="shared" si="8"/>
        <v>2.3901337516749293E-4</v>
      </c>
      <c r="O92" s="58"/>
    </row>
    <row r="93" spans="1:15">
      <c r="A93" s="24">
        <v>294</v>
      </c>
      <c r="B93" s="20" t="s">
        <v>67</v>
      </c>
      <c r="C93" s="33">
        <v>140250</v>
      </c>
      <c r="D93" s="43"/>
      <c r="E93" s="43"/>
      <c r="F93" s="33"/>
      <c r="G93" s="33"/>
      <c r="H93" s="33"/>
      <c r="I93" s="33"/>
      <c r="J93" s="33">
        <f t="shared" si="6"/>
        <v>140250</v>
      </c>
      <c r="K93" s="49">
        <v>14130</v>
      </c>
      <c r="L93" s="49">
        <f t="shared" si="7"/>
        <v>126120</v>
      </c>
      <c r="M93" s="53">
        <f t="shared" si="8"/>
        <v>2.4705625392221472E-2</v>
      </c>
      <c r="O93" s="58"/>
    </row>
    <row r="94" spans="1:15">
      <c r="A94" s="24">
        <v>296</v>
      </c>
      <c r="B94" s="20" t="s">
        <v>101</v>
      </c>
      <c r="C94" s="33">
        <v>500</v>
      </c>
      <c r="D94" s="33"/>
      <c r="E94" s="33"/>
      <c r="F94" s="33"/>
      <c r="G94" s="33"/>
      <c r="H94" s="33"/>
      <c r="I94" s="33"/>
      <c r="J94" s="33">
        <f t="shared" si="6"/>
        <v>500</v>
      </c>
      <c r="K94" s="49">
        <v>0</v>
      </c>
      <c r="L94" s="49">
        <f t="shared" si="7"/>
        <v>500</v>
      </c>
      <c r="M94" s="53">
        <f t="shared" si="8"/>
        <v>0</v>
      </c>
      <c r="O94" s="58"/>
    </row>
    <row r="95" spans="1:15">
      <c r="A95" s="24">
        <v>297</v>
      </c>
      <c r="B95" s="20" t="s">
        <v>68</v>
      </c>
      <c r="C95" s="33">
        <v>1000</v>
      </c>
      <c r="D95" s="33"/>
      <c r="E95" s="33"/>
      <c r="F95" s="33"/>
      <c r="G95" s="33"/>
      <c r="H95" s="33"/>
      <c r="I95" s="33"/>
      <c r="J95" s="33">
        <f t="shared" si="6"/>
        <v>1000</v>
      </c>
      <c r="K95" s="49">
        <v>241.2</v>
      </c>
      <c r="L95" s="49">
        <f t="shared" si="7"/>
        <v>758.8</v>
      </c>
      <c r="M95" s="53">
        <f t="shared" si="8"/>
        <v>4.2172659905193342E-4</v>
      </c>
      <c r="O95" s="58"/>
    </row>
    <row r="96" spans="1:15">
      <c r="A96" s="24">
        <v>298</v>
      </c>
      <c r="B96" s="20" t="s">
        <v>25</v>
      </c>
      <c r="C96" s="33">
        <v>85460</v>
      </c>
      <c r="D96" s="43"/>
      <c r="E96" s="43"/>
      <c r="F96" s="33"/>
      <c r="G96" s="33"/>
      <c r="H96" s="33"/>
      <c r="I96" s="33"/>
      <c r="J96" s="33">
        <f t="shared" si="6"/>
        <v>85460</v>
      </c>
      <c r="K96" s="49">
        <v>3468.19</v>
      </c>
      <c r="L96" s="49">
        <f t="shared" si="7"/>
        <v>81991.81</v>
      </c>
      <c r="M96" s="53">
        <f t="shared" si="8"/>
        <v>6.0639634061605517E-3</v>
      </c>
      <c r="O96" s="58"/>
    </row>
    <row r="97" spans="1:15">
      <c r="A97" s="24">
        <v>299</v>
      </c>
      <c r="B97" s="20" t="s">
        <v>69</v>
      </c>
      <c r="C97" s="33">
        <v>12000</v>
      </c>
      <c r="D97" s="43"/>
      <c r="E97" s="43"/>
      <c r="F97" s="33"/>
      <c r="G97" s="33"/>
      <c r="H97" s="33"/>
      <c r="I97" s="33"/>
      <c r="J97" s="33">
        <f t="shared" si="6"/>
        <v>12000</v>
      </c>
      <c r="K97" s="49">
        <v>420.45</v>
      </c>
      <c r="L97" s="49">
        <f t="shared" si="7"/>
        <v>11579.55</v>
      </c>
      <c r="M97" s="53">
        <f t="shared" si="8"/>
        <v>7.3513660270060281E-4</v>
      </c>
      <c r="O97" s="58"/>
    </row>
    <row r="98" spans="1:15">
      <c r="A98" s="24"/>
      <c r="B98" s="20"/>
      <c r="C98" s="33"/>
      <c r="D98" s="43"/>
      <c r="E98" s="43"/>
      <c r="F98" s="33"/>
      <c r="G98" s="33"/>
      <c r="H98" s="33"/>
      <c r="I98" s="33"/>
      <c r="J98" s="33"/>
      <c r="K98" s="81"/>
      <c r="L98" s="49"/>
      <c r="M98" s="53"/>
      <c r="O98" s="58"/>
    </row>
    <row r="99" spans="1:15">
      <c r="A99" s="23">
        <v>3</v>
      </c>
      <c r="B99" s="23" t="s">
        <v>129</v>
      </c>
      <c r="C99" s="33"/>
      <c r="D99" s="33"/>
      <c r="E99" s="33"/>
      <c r="F99" s="33"/>
      <c r="G99" s="33"/>
      <c r="H99" s="33"/>
      <c r="I99" s="33"/>
      <c r="J99" s="33"/>
      <c r="K99" s="83"/>
      <c r="L99" s="49"/>
      <c r="M99" s="53"/>
      <c r="O99" s="58"/>
    </row>
    <row r="100" spans="1:15">
      <c r="A100" s="24">
        <v>322</v>
      </c>
      <c r="B100" s="20" t="s">
        <v>83</v>
      </c>
      <c r="C100" s="33">
        <v>18000</v>
      </c>
      <c r="D100" s="33"/>
      <c r="E100" s="33"/>
      <c r="F100" s="33"/>
      <c r="G100" s="33"/>
      <c r="H100" s="33"/>
      <c r="I100" s="33"/>
      <c r="J100" s="33">
        <f t="shared" ref="J100:J105" si="9">C100+D100-E100+F100-G100+H100-I100</f>
        <v>18000</v>
      </c>
      <c r="K100" s="49">
        <v>0</v>
      </c>
      <c r="L100" s="49">
        <f t="shared" ref="L100:L105" si="10">J100-K100</f>
        <v>18000</v>
      </c>
      <c r="M100" s="53">
        <f t="shared" ref="M100:M105" si="11">K100/$K$114</f>
        <v>0</v>
      </c>
      <c r="O100" s="58"/>
    </row>
    <row r="101" spans="1:15" hidden="1">
      <c r="A101" s="120">
        <v>323</v>
      </c>
      <c r="B101" s="20" t="s">
        <v>119</v>
      </c>
      <c r="C101" s="33">
        <v>0</v>
      </c>
      <c r="D101" s="33"/>
      <c r="E101" s="33"/>
      <c r="F101" s="33"/>
      <c r="G101" s="33"/>
      <c r="H101" s="33"/>
      <c r="I101" s="33"/>
      <c r="J101" s="33">
        <f t="shared" si="9"/>
        <v>0</v>
      </c>
      <c r="K101" s="49"/>
      <c r="L101" s="49">
        <f t="shared" si="10"/>
        <v>0</v>
      </c>
      <c r="M101" s="53">
        <f t="shared" si="11"/>
        <v>0</v>
      </c>
    </row>
    <row r="102" spans="1:15">
      <c r="A102" s="24">
        <v>324</v>
      </c>
      <c r="B102" s="20" t="s">
        <v>120</v>
      </c>
      <c r="C102" s="33">
        <v>2147922.54</v>
      </c>
      <c r="D102" s="33"/>
      <c r="E102" s="33"/>
      <c r="F102" s="33"/>
      <c r="G102" s="33"/>
      <c r="H102" s="33"/>
      <c r="I102" s="33"/>
      <c r="J102" s="33">
        <f t="shared" si="9"/>
        <v>2147922.54</v>
      </c>
      <c r="K102" s="49">
        <v>0</v>
      </c>
      <c r="L102" s="49">
        <f t="shared" si="10"/>
        <v>2147922.54</v>
      </c>
      <c r="M102" s="53">
        <f t="shared" si="11"/>
        <v>0</v>
      </c>
    </row>
    <row r="103" spans="1:15">
      <c r="A103" s="24">
        <v>328</v>
      </c>
      <c r="B103" s="20" t="s">
        <v>84</v>
      </c>
      <c r="C103" s="33">
        <v>7500</v>
      </c>
      <c r="D103" s="33"/>
      <c r="E103" s="33"/>
      <c r="F103" s="33"/>
      <c r="G103" s="33"/>
      <c r="H103" s="33"/>
      <c r="I103" s="33"/>
      <c r="J103" s="33">
        <f t="shared" si="9"/>
        <v>7500</v>
      </c>
      <c r="K103" s="49">
        <v>0</v>
      </c>
      <c r="L103" s="49">
        <f t="shared" si="10"/>
        <v>7500</v>
      </c>
      <c r="M103" s="53">
        <f t="shared" si="11"/>
        <v>0</v>
      </c>
    </row>
    <row r="104" spans="1:15">
      <c r="A104" s="24">
        <v>329</v>
      </c>
      <c r="B104" s="20" t="s">
        <v>85</v>
      </c>
      <c r="C104" s="33">
        <v>10500</v>
      </c>
      <c r="D104" s="33"/>
      <c r="E104" s="33"/>
      <c r="F104" s="33"/>
      <c r="G104" s="33"/>
      <c r="H104" s="33"/>
      <c r="I104" s="33"/>
      <c r="J104" s="33">
        <f t="shared" si="9"/>
        <v>10500</v>
      </c>
      <c r="K104" s="49">
        <v>0</v>
      </c>
      <c r="L104" s="49">
        <f t="shared" si="10"/>
        <v>10500</v>
      </c>
      <c r="M104" s="53">
        <f t="shared" si="11"/>
        <v>0</v>
      </c>
    </row>
    <row r="105" spans="1:15">
      <c r="A105" s="24">
        <v>332</v>
      </c>
      <c r="B105" s="20" t="s">
        <v>140</v>
      </c>
      <c r="C105" s="33">
        <v>2388358.86</v>
      </c>
      <c r="D105" s="33"/>
      <c r="E105" s="33"/>
      <c r="F105" s="33"/>
      <c r="G105" s="33"/>
      <c r="H105" s="33"/>
      <c r="I105" s="33"/>
      <c r="J105" s="33">
        <f t="shared" si="9"/>
        <v>2388358.86</v>
      </c>
      <c r="K105" s="49">
        <v>0</v>
      </c>
      <c r="L105" s="49">
        <f t="shared" si="10"/>
        <v>2388358.86</v>
      </c>
      <c r="M105" s="53">
        <f t="shared" si="11"/>
        <v>0</v>
      </c>
    </row>
    <row r="106" spans="1:15">
      <c r="A106" s="24"/>
      <c r="B106" s="20"/>
      <c r="C106" s="33"/>
      <c r="D106" s="33"/>
      <c r="E106" s="33"/>
      <c r="F106" s="33"/>
      <c r="G106" s="33"/>
      <c r="H106" s="33"/>
      <c r="I106" s="33"/>
      <c r="J106" s="33"/>
      <c r="K106" s="81"/>
      <c r="L106" s="49"/>
      <c r="M106" s="53"/>
      <c r="O106" s="12"/>
    </row>
    <row r="107" spans="1:15">
      <c r="A107" s="23">
        <v>4</v>
      </c>
      <c r="B107" s="23" t="s">
        <v>12</v>
      </c>
      <c r="C107" s="33"/>
      <c r="D107" s="33"/>
      <c r="E107" s="33"/>
      <c r="F107" s="33"/>
      <c r="G107" s="33"/>
      <c r="H107" s="33"/>
      <c r="I107" s="33"/>
      <c r="J107" s="33"/>
      <c r="K107" s="81"/>
      <c r="L107" s="49"/>
      <c r="M107" s="53"/>
      <c r="O107" s="12"/>
    </row>
    <row r="108" spans="1:15">
      <c r="A108" s="25">
        <v>413</v>
      </c>
      <c r="B108" s="26" t="s">
        <v>72</v>
      </c>
      <c r="C108" s="33">
        <v>20750</v>
      </c>
      <c r="D108" s="33"/>
      <c r="E108" s="33"/>
      <c r="F108" s="33"/>
      <c r="G108" s="33"/>
      <c r="H108" s="33"/>
      <c r="I108" s="33"/>
      <c r="J108" s="33">
        <f t="shared" ref="J108:J112" si="12">C108+D108-E108+F108-G108+H108-I108</f>
        <v>20750</v>
      </c>
      <c r="K108" s="49">
        <v>0</v>
      </c>
      <c r="L108" s="49">
        <f t="shared" ref="L108:L112" si="13">J108-K108</f>
        <v>20750</v>
      </c>
      <c r="M108" s="53">
        <f>K108/$K$114</f>
        <v>0</v>
      </c>
      <c r="O108" s="12"/>
    </row>
    <row r="109" spans="1:15">
      <c r="A109" s="25">
        <v>415</v>
      </c>
      <c r="B109" s="26" t="s">
        <v>73</v>
      </c>
      <c r="C109" s="33">
        <v>7600</v>
      </c>
      <c r="D109" s="33"/>
      <c r="E109" s="33"/>
      <c r="F109" s="33"/>
      <c r="G109" s="33"/>
      <c r="H109" s="33"/>
      <c r="I109" s="33"/>
      <c r="J109" s="33">
        <f t="shared" si="12"/>
        <v>7600</v>
      </c>
      <c r="K109" s="49">
        <v>0</v>
      </c>
      <c r="L109" s="49">
        <f t="shared" si="13"/>
        <v>7600</v>
      </c>
      <c r="M109" s="53">
        <f>K109/$K$114</f>
        <v>0</v>
      </c>
      <c r="O109" s="12"/>
    </row>
    <row r="110" spans="1:15">
      <c r="A110" s="25">
        <v>419</v>
      </c>
      <c r="B110" s="26" t="s">
        <v>74</v>
      </c>
      <c r="C110" s="33">
        <v>19200</v>
      </c>
      <c r="D110" s="33"/>
      <c r="E110" s="33"/>
      <c r="F110" s="33"/>
      <c r="G110" s="33"/>
      <c r="H110" s="33"/>
      <c r="I110" s="33"/>
      <c r="J110" s="33">
        <f t="shared" si="12"/>
        <v>19200</v>
      </c>
      <c r="K110" s="49">
        <v>1800</v>
      </c>
      <c r="L110" s="49">
        <f t="shared" si="13"/>
        <v>17400</v>
      </c>
      <c r="M110" s="53">
        <f>K110/$K$114</f>
        <v>3.1472134257606969E-3</v>
      </c>
      <c r="O110" s="12"/>
    </row>
    <row r="111" spans="1:15">
      <c r="A111" s="25">
        <v>453</v>
      </c>
      <c r="B111" s="26" t="s">
        <v>75</v>
      </c>
      <c r="C111" s="33">
        <v>255000</v>
      </c>
      <c r="D111" s="33"/>
      <c r="E111" s="33"/>
      <c r="F111" s="33"/>
      <c r="G111" s="33"/>
      <c r="H111" s="33"/>
      <c r="I111" s="33"/>
      <c r="J111" s="33">
        <f t="shared" si="12"/>
        <v>255000</v>
      </c>
      <c r="K111" s="49">
        <v>20000</v>
      </c>
      <c r="L111" s="49">
        <f t="shared" si="13"/>
        <v>235000</v>
      </c>
      <c r="M111" s="53">
        <f>K111/$K$114</f>
        <v>3.4969038064007744E-2</v>
      </c>
      <c r="O111" s="12"/>
    </row>
    <row r="112" spans="1:15">
      <c r="A112" s="25">
        <v>472</v>
      </c>
      <c r="B112" s="26" t="s">
        <v>105</v>
      </c>
      <c r="C112" s="33">
        <v>8200</v>
      </c>
      <c r="D112" s="33"/>
      <c r="E112" s="33"/>
      <c r="F112" s="33"/>
      <c r="G112" s="33"/>
      <c r="H112" s="33"/>
      <c r="I112" s="33"/>
      <c r="J112" s="33">
        <f t="shared" si="12"/>
        <v>8200</v>
      </c>
      <c r="K112" s="49">
        <v>0</v>
      </c>
      <c r="L112" s="49">
        <f t="shared" si="13"/>
        <v>8200</v>
      </c>
      <c r="M112" s="53">
        <f>K112/$K$114</f>
        <v>0</v>
      </c>
      <c r="O112" s="12"/>
    </row>
    <row r="113" spans="1:15" ht="20.25" customHeight="1" thickBot="1">
      <c r="A113" s="22"/>
      <c r="B113" s="64"/>
      <c r="C113" s="18"/>
      <c r="D113" s="33"/>
      <c r="E113" s="33"/>
      <c r="F113" s="44"/>
      <c r="G113" s="44"/>
      <c r="H113" s="44"/>
      <c r="I113" s="44"/>
      <c r="J113" s="18"/>
      <c r="K113" s="84"/>
      <c r="L113" s="50"/>
      <c r="M113" s="53"/>
      <c r="O113" s="12"/>
    </row>
    <row r="114" spans="1:15" ht="20.25" customHeight="1" thickBot="1">
      <c r="A114" s="65"/>
      <c r="B114" s="8" t="s">
        <v>7</v>
      </c>
      <c r="C114" s="94">
        <f>SUM(C21:C113)</f>
        <v>10577202.25</v>
      </c>
      <c r="D114" s="94">
        <f>SUM(D21:D113)</f>
        <v>0</v>
      </c>
      <c r="E114" s="94">
        <f>SUM(E21:E113)</f>
        <v>0</v>
      </c>
      <c r="F114" s="94">
        <f t="shared" ref="F114:L114" si="14">SUM(F21:F113)</f>
        <v>0</v>
      </c>
      <c r="G114" s="94">
        <f t="shared" si="14"/>
        <v>0</v>
      </c>
      <c r="H114" s="94">
        <f t="shared" si="14"/>
        <v>0</v>
      </c>
      <c r="I114" s="94">
        <f t="shared" si="14"/>
        <v>0</v>
      </c>
      <c r="J114" s="94">
        <f t="shared" si="14"/>
        <v>10577202.25</v>
      </c>
      <c r="K114" s="97">
        <f>ROUND((SUM(K21:K113)),2)</f>
        <v>571934.52</v>
      </c>
      <c r="L114" s="94">
        <f t="shared" si="14"/>
        <v>10005267.729999999</v>
      </c>
      <c r="M114" s="98">
        <f>K114/K114</f>
        <v>1</v>
      </c>
      <c r="O114" s="12"/>
    </row>
    <row r="115" spans="1:15" ht="20.25" customHeight="1">
      <c r="A115" s="66"/>
      <c r="B115" s="13"/>
      <c r="C115" s="14"/>
      <c r="D115" s="14"/>
      <c r="E115" s="14"/>
      <c r="F115" s="14"/>
      <c r="G115" s="27"/>
      <c r="H115" s="27"/>
      <c r="I115" s="14"/>
      <c r="J115" s="14"/>
      <c r="K115" s="85"/>
      <c r="L115" s="14"/>
      <c r="M115" s="15"/>
      <c r="O115" s="12"/>
    </row>
    <row r="116" spans="1:15" ht="20.25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85"/>
      <c r="L116" s="14"/>
      <c r="M116" s="15"/>
      <c r="O116" s="12"/>
    </row>
    <row r="117" spans="1:15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16"/>
      <c r="K117" s="86"/>
      <c r="L117" s="10"/>
      <c r="M117" s="11"/>
    </row>
    <row r="118" spans="1:15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16"/>
      <c r="K118" s="86"/>
      <c r="L118" s="10"/>
      <c r="M118" s="11"/>
    </row>
    <row r="119" spans="1:15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16"/>
      <c r="K119" s="86"/>
      <c r="L119" s="10"/>
      <c r="M119" s="11"/>
      <c r="O119" s="3"/>
    </row>
    <row r="120" spans="1:15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16"/>
      <c r="K120" s="86"/>
      <c r="L120" s="10"/>
      <c r="M120" s="11"/>
    </row>
    <row r="121" spans="1:15" s="12" customFormat="1">
      <c r="A121" s="105" t="s">
        <v>108</v>
      </c>
      <c r="B121" s="35"/>
      <c r="C121" s="101"/>
      <c r="D121" s="9"/>
      <c r="E121" s="9"/>
      <c r="G121" s="41"/>
      <c r="H121" s="41"/>
      <c r="I121" s="41"/>
      <c r="J121" s="16"/>
      <c r="K121" s="86"/>
      <c r="L121" s="10"/>
      <c r="M121" s="11"/>
    </row>
    <row r="122" spans="1:15" s="12" customFormat="1">
      <c r="A122" s="106" t="s">
        <v>136</v>
      </c>
      <c r="B122" s="36"/>
      <c r="C122" s="101">
        <v>656637.59</v>
      </c>
      <c r="D122" s="9"/>
      <c r="E122" s="67"/>
      <c r="G122" s="41"/>
      <c r="H122" s="41"/>
      <c r="I122" s="41"/>
      <c r="J122" s="16"/>
      <c r="K122" s="86"/>
      <c r="L122" s="10"/>
      <c r="M122" s="11"/>
      <c r="O122" s="3"/>
    </row>
    <row r="123" spans="1:15" s="12" customFormat="1">
      <c r="A123" s="106" t="s">
        <v>76</v>
      </c>
      <c r="B123" s="36"/>
      <c r="C123" s="101">
        <f>K18</f>
        <v>435609.21</v>
      </c>
      <c r="D123" s="9"/>
      <c r="E123" s="67"/>
      <c r="G123" s="41"/>
      <c r="H123" s="41"/>
      <c r="I123" s="77"/>
      <c r="J123" s="16"/>
      <c r="K123" s="86"/>
      <c r="L123" s="10"/>
      <c r="M123" s="11"/>
      <c r="O123" s="3"/>
    </row>
    <row r="124" spans="1:15" s="12" customFormat="1">
      <c r="A124" s="106" t="s">
        <v>87</v>
      </c>
      <c r="B124" s="36"/>
      <c r="C124" s="122">
        <f>-K114</f>
        <v>-571934.52</v>
      </c>
      <c r="D124" s="9"/>
      <c r="E124" s="67"/>
      <c r="G124" s="41"/>
      <c r="H124" s="41"/>
      <c r="I124" s="41"/>
      <c r="J124" s="16"/>
      <c r="K124" s="86"/>
      <c r="L124" s="10"/>
      <c r="M124" s="11"/>
      <c r="O124" s="3"/>
    </row>
    <row r="125" spans="1:15" s="12" customFormat="1" ht="18" customHeight="1">
      <c r="A125" s="107" t="s">
        <v>107</v>
      </c>
      <c r="B125" s="36"/>
      <c r="C125" s="119">
        <f>SUM(C122:C124)</f>
        <v>520312.28</v>
      </c>
      <c r="D125" s="68"/>
      <c r="E125" s="67"/>
      <c r="G125" s="41"/>
      <c r="H125" s="41"/>
      <c r="I125" s="41"/>
      <c r="J125" s="16"/>
      <c r="K125" s="86"/>
      <c r="L125" s="10"/>
      <c r="M125" s="11"/>
      <c r="O125" s="3"/>
    </row>
    <row r="126" spans="1:15" s="12" customFormat="1" ht="5.0999999999999996" customHeight="1">
      <c r="A126" s="106"/>
      <c r="B126" s="36"/>
      <c r="C126" s="101"/>
      <c r="D126" s="9"/>
      <c r="E126" s="9"/>
      <c r="G126" s="48"/>
      <c r="H126" s="48"/>
      <c r="I126" s="41"/>
      <c r="J126" s="16"/>
      <c r="K126" s="86"/>
      <c r="L126" s="10"/>
      <c r="M126" s="11"/>
      <c r="O126" s="3"/>
    </row>
    <row r="127" spans="1:15" s="12" customFormat="1" ht="5.0999999999999996" customHeight="1">
      <c r="A127" s="106"/>
      <c r="B127" s="36"/>
      <c r="C127" s="101"/>
      <c r="D127" s="9"/>
      <c r="E127" s="9"/>
      <c r="G127" s="41"/>
      <c r="H127" s="41"/>
      <c r="I127" s="41"/>
      <c r="J127" s="16"/>
      <c r="K127" s="86"/>
      <c r="L127" s="10"/>
      <c r="M127" s="11"/>
      <c r="O127" s="3"/>
    </row>
    <row r="128" spans="1:15" s="12" customFormat="1" ht="6.95" customHeight="1">
      <c r="A128" s="106"/>
      <c r="B128" s="36"/>
      <c r="C128" s="101"/>
      <c r="D128" s="9"/>
      <c r="E128" s="9"/>
      <c r="G128" s="41"/>
      <c r="H128" s="41"/>
      <c r="I128" s="41"/>
      <c r="J128" s="16"/>
      <c r="K128" s="86"/>
      <c r="L128" s="10"/>
      <c r="M128" s="11"/>
      <c r="O128" s="3"/>
    </row>
    <row r="129" spans="1:15" s="12" customFormat="1">
      <c r="A129" s="107" t="s">
        <v>151</v>
      </c>
      <c r="B129" s="39"/>
      <c r="C129" s="101">
        <f>C125+C126</f>
        <v>520312.28</v>
      </c>
      <c r="D129" s="69"/>
      <c r="G129" s="41"/>
      <c r="H129" s="41"/>
      <c r="I129" s="41"/>
      <c r="J129" s="16"/>
      <c r="K129" s="86"/>
      <c r="L129" s="10"/>
      <c r="M129" s="11"/>
      <c r="O129" s="3"/>
    </row>
    <row r="130" spans="1:15" s="12" customFormat="1" ht="6.95" customHeight="1" thickBot="1">
      <c r="A130" s="108"/>
      <c r="B130" s="38"/>
      <c r="C130" s="104"/>
      <c r="D130" s="69"/>
      <c r="G130" s="41"/>
      <c r="H130" s="41"/>
      <c r="I130" s="41"/>
      <c r="J130" s="16"/>
      <c r="K130" s="86"/>
      <c r="L130" s="10"/>
      <c r="M130" s="11"/>
      <c r="O130" s="3"/>
    </row>
    <row r="131" spans="1:15">
      <c r="A131" s="17"/>
      <c r="C131" s="45"/>
      <c r="D131" s="69"/>
      <c r="G131" s="45"/>
      <c r="H131" s="45"/>
      <c r="I131" s="45"/>
      <c r="J131" s="45"/>
      <c r="L131" s="45"/>
      <c r="M131" s="45"/>
    </row>
    <row r="132" spans="1:15">
      <c r="A132" s="17"/>
      <c r="B132" s="17"/>
      <c r="C132" s="45"/>
      <c r="D132" s="69"/>
      <c r="G132" s="45"/>
      <c r="H132" s="45"/>
      <c r="I132" s="45"/>
      <c r="J132" s="45"/>
      <c r="L132" s="45"/>
      <c r="M132" s="45"/>
    </row>
    <row r="133" spans="1:15">
      <c r="A133" s="13"/>
      <c r="B133" s="70" t="s">
        <v>150</v>
      </c>
      <c r="C133" s="45"/>
      <c r="D133" s="69"/>
      <c r="E133" s="40"/>
      <c r="G133" s="45"/>
      <c r="H133" s="45"/>
      <c r="J133" s="45"/>
      <c r="L133" s="45"/>
      <c r="M133" s="45"/>
    </row>
    <row r="134" spans="1:15">
      <c r="A134" s="13"/>
      <c r="B134" s="17"/>
      <c r="C134" s="45"/>
      <c r="D134" s="69"/>
      <c r="E134" s="45"/>
      <c r="F134" s="45"/>
      <c r="G134" s="45"/>
      <c r="H134" s="45"/>
      <c r="I134" s="45"/>
      <c r="J134" s="45"/>
      <c r="L134" s="45"/>
      <c r="M134" s="45"/>
    </row>
    <row r="135" spans="1:15">
      <c r="A135" s="13"/>
      <c r="B135" s="17"/>
      <c r="C135" s="45"/>
      <c r="D135" s="69"/>
      <c r="E135" s="45"/>
      <c r="F135" s="45"/>
      <c r="G135" s="45"/>
      <c r="H135" s="45"/>
      <c r="I135" s="45"/>
      <c r="J135" s="45"/>
      <c r="L135" s="45"/>
      <c r="M135" s="45"/>
    </row>
    <row r="136" spans="1:15">
      <c r="A136" s="13"/>
      <c r="B136" s="17"/>
      <c r="C136" s="45"/>
      <c r="D136" s="69"/>
      <c r="E136" s="45"/>
      <c r="F136" s="45"/>
      <c r="G136" s="45"/>
      <c r="H136" s="45"/>
      <c r="I136" s="45"/>
      <c r="J136" s="45"/>
      <c r="L136" s="45"/>
      <c r="M136" s="45"/>
    </row>
    <row r="137" spans="1:15">
      <c r="A137" s="13"/>
      <c r="B137" s="17"/>
      <c r="C137" s="45"/>
      <c r="E137" s="45"/>
      <c r="F137" s="45"/>
      <c r="G137" s="45"/>
      <c r="H137" s="45"/>
      <c r="I137" s="45"/>
      <c r="J137" s="45"/>
      <c r="L137" s="45"/>
      <c r="M137" s="45"/>
    </row>
    <row r="138" spans="1:15">
      <c r="A138" s="66"/>
      <c r="B138" s="17"/>
      <c r="C138" s="45"/>
      <c r="D138" s="16"/>
      <c r="E138" s="40"/>
      <c r="F138" s="40"/>
      <c r="G138" s="45"/>
      <c r="H138" s="45"/>
      <c r="I138" s="45"/>
      <c r="J138" s="45"/>
      <c r="L138" s="45"/>
      <c r="M138" s="45"/>
    </row>
    <row r="139" spans="1:15">
      <c r="A139" s="66"/>
      <c r="B139" s="45"/>
      <c r="C139" s="45"/>
      <c r="D139" s="45"/>
      <c r="E139" s="40"/>
      <c r="F139" s="40"/>
      <c r="G139" s="45"/>
      <c r="H139" s="45"/>
      <c r="I139" s="45"/>
      <c r="J139" s="45"/>
      <c r="L139" s="45"/>
      <c r="M139" s="45"/>
    </row>
    <row r="140" spans="1:15" ht="18.75">
      <c r="A140" s="66"/>
      <c r="B140" s="46" t="s">
        <v>124</v>
      </c>
      <c r="D140" s="112" t="s">
        <v>138</v>
      </c>
      <c r="E140" s="46"/>
      <c r="F140" s="46"/>
      <c r="I140" s="113" t="s">
        <v>127</v>
      </c>
      <c r="K140" s="88"/>
      <c r="L140" s="51"/>
      <c r="M140" s="46"/>
    </row>
    <row r="141" spans="1:15" s="115" customFormat="1" ht="15.75">
      <c r="A141" s="114"/>
      <c r="B141" s="56" t="s">
        <v>125</v>
      </c>
      <c r="D141" s="116" t="s">
        <v>126</v>
      </c>
      <c r="E141" s="56"/>
      <c r="F141" s="56"/>
      <c r="I141" s="117" t="s">
        <v>123</v>
      </c>
      <c r="K141" s="118"/>
      <c r="L141" s="56"/>
      <c r="M141" s="56"/>
    </row>
    <row r="142" spans="1:15" ht="18.75">
      <c r="A142" s="66"/>
      <c r="B142" s="47"/>
      <c r="C142" s="71"/>
      <c r="D142" s="51"/>
      <c r="E142" s="47"/>
      <c r="F142" s="47"/>
      <c r="G142" s="47"/>
      <c r="H142" s="47"/>
      <c r="I142" s="51"/>
      <c r="J142" s="71"/>
      <c r="K142" s="88"/>
      <c r="L142" s="47"/>
      <c r="M142" s="47"/>
    </row>
    <row r="143" spans="1:15" ht="18.75">
      <c r="A143" s="66"/>
      <c r="B143" s="47"/>
      <c r="C143" s="47"/>
      <c r="D143" s="47"/>
      <c r="F143" s="47"/>
      <c r="G143" s="47"/>
      <c r="H143" s="47"/>
      <c r="I143" s="112"/>
      <c r="J143" s="47"/>
      <c r="K143" s="88"/>
      <c r="M143" s="47"/>
    </row>
  </sheetData>
  <mergeCells count="3">
    <mergeCell ref="A6:A7"/>
    <mergeCell ref="B6:B7"/>
    <mergeCell ref="K6:K7"/>
  </mergeCells>
  <printOptions horizontalCentered="1"/>
  <pageMargins left="0" right="0" top="0.78740157480314965" bottom="0.86614173228346458" header="0.31496062992125984" footer="0.31496062992125984"/>
  <pageSetup scale="5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showGridLines="0" zoomScale="75" zoomScaleNormal="75" workbookViewId="0">
      <selection activeCell="C11" sqref="C11"/>
    </sheetView>
  </sheetViews>
  <sheetFormatPr baseColWidth="10" defaultColWidth="11.42578125" defaultRowHeight="18"/>
  <cols>
    <col min="1" max="1" width="10.7109375" style="3" customWidth="1"/>
    <col min="2" max="2" width="64.7109375" style="3" customWidth="1"/>
    <col min="3" max="3" width="19.28515625" style="3" customWidth="1"/>
    <col min="4" max="9" width="16.42578125" style="3" customWidth="1"/>
    <col min="10" max="10" width="19.28515625" style="3" customWidth="1"/>
    <col min="11" max="11" width="19.28515625" style="87" customWidth="1"/>
    <col min="12" max="12" width="19.28515625" style="3" customWidth="1"/>
    <col min="13" max="13" width="12.7109375" style="3" customWidth="1"/>
    <col min="14" max="14" width="7" style="3" customWidth="1"/>
    <col min="15" max="15" width="19.5703125" style="3" bestFit="1" customWidth="1"/>
    <col min="16" max="16" width="15.42578125" style="3" bestFit="1" customWidth="1"/>
    <col min="17" max="16384" width="11.42578125" style="3"/>
  </cols>
  <sheetData>
    <row r="1" spans="1:1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80"/>
      <c r="L1" s="42"/>
      <c r="M1" s="42"/>
    </row>
    <row r="2" spans="1:1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80"/>
      <c r="L2" s="42"/>
      <c r="M2" s="42"/>
    </row>
    <row r="3" spans="1:15">
      <c r="A3" s="42" t="s">
        <v>152</v>
      </c>
      <c r="B3" s="42"/>
      <c r="C3" s="42"/>
      <c r="D3" s="42"/>
      <c r="E3" s="42"/>
      <c r="F3" s="42"/>
      <c r="G3" s="42"/>
      <c r="H3" s="42"/>
      <c r="I3" s="42"/>
      <c r="J3" s="42"/>
      <c r="K3" s="80"/>
      <c r="L3" s="42"/>
      <c r="M3" s="42"/>
    </row>
    <row r="4" spans="1:15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80"/>
      <c r="L4" s="42"/>
      <c r="M4" s="42"/>
    </row>
    <row r="5" spans="1:15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80"/>
      <c r="L5" s="42"/>
      <c r="M5" s="42"/>
    </row>
    <row r="6" spans="1:15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1" t="s">
        <v>1</v>
      </c>
      <c r="K6" s="188" t="s">
        <v>2</v>
      </c>
      <c r="L6" s="2" t="s">
        <v>27</v>
      </c>
      <c r="M6" s="1" t="s">
        <v>29</v>
      </c>
    </row>
    <row r="7" spans="1:15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4" t="s">
        <v>4</v>
      </c>
      <c r="K7" s="189"/>
      <c r="L7" s="6" t="s">
        <v>28</v>
      </c>
      <c r="M7" s="7" t="s">
        <v>30</v>
      </c>
    </row>
    <row r="8" spans="1:15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81"/>
      <c r="L8" s="74"/>
      <c r="M8" s="43"/>
    </row>
    <row r="9" spans="1:15">
      <c r="A9" s="78"/>
      <c r="B9" s="79"/>
      <c r="C9" s="43"/>
      <c r="D9" s="43"/>
      <c r="E9" s="43"/>
      <c r="F9" s="43"/>
      <c r="G9" s="43"/>
      <c r="H9" s="43"/>
      <c r="I9" s="43"/>
      <c r="J9" s="43"/>
      <c r="K9" s="81"/>
      <c r="L9" s="74"/>
      <c r="M9" s="43"/>
    </row>
    <row r="10" spans="1:15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33">
        <f t="shared" ref="J10:J17" si="0">C10+D10-E10+F10-G10+H10-I10</f>
        <v>656637.59</v>
      </c>
      <c r="K10" s="49">
        <v>0</v>
      </c>
      <c r="L10" s="74">
        <f t="shared" ref="L10:L15" si="1">J10-K10+I10</f>
        <v>656637.59</v>
      </c>
      <c r="M10" s="57">
        <f>K10/K18</f>
        <v>0</v>
      </c>
    </row>
    <row r="11" spans="1:15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33">
        <f t="shared" si="0"/>
        <v>90000</v>
      </c>
      <c r="K11" s="49">
        <f>6885+7250+5010+5735+2005+6610</f>
        <v>33495</v>
      </c>
      <c r="L11" s="72">
        <f t="shared" si="1"/>
        <v>56505</v>
      </c>
      <c r="M11" s="57">
        <f>K11/K18</f>
        <v>2.6064133315392306E-2</v>
      </c>
    </row>
    <row r="12" spans="1:15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33">
        <f t="shared" si="0"/>
        <v>4000</v>
      </c>
      <c r="K12" s="49">
        <f>154.29+74.21+47.84</f>
        <v>276.34000000000003</v>
      </c>
      <c r="L12" s="72">
        <f t="shared" si="1"/>
        <v>3723.66</v>
      </c>
      <c r="M12" s="57">
        <f>K12/K18</f>
        <v>2.1503396328931217E-4</v>
      </c>
    </row>
    <row r="13" spans="1:15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33">
        <f t="shared" si="0"/>
        <v>2345924.88</v>
      </c>
      <c r="K13" s="49">
        <f>195493.74+40518.88+404398.5</f>
        <v>640411.12</v>
      </c>
      <c r="L13" s="72">
        <f t="shared" si="1"/>
        <v>1705513.7599999998</v>
      </c>
      <c r="M13" s="57">
        <f>K13/K18</f>
        <v>0.49833589515867144</v>
      </c>
      <c r="O13" s="58"/>
    </row>
    <row r="14" spans="1:15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33">
        <f t="shared" si="0"/>
        <v>4496358.8600000003</v>
      </c>
      <c r="K14" s="49">
        <v>0</v>
      </c>
      <c r="L14" s="72">
        <f t="shared" si="1"/>
        <v>4496358.8600000003</v>
      </c>
      <c r="M14" s="57">
        <f>K14/K18</f>
        <v>0</v>
      </c>
      <c r="O14" s="58"/>
    </row>
    <row r="15" spans="1:15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33">
        <f t="shared" si="0"/>
        <v>2969280.92</v>
      </c>
      <c r="K15" s="49">
        <f>174488.09+436428.77</f>
        <v>610916.86</v>
      </c>
      <c r="L15" s="74">
        <f t="shared" si="1"/>
        <v>2358364.06</v>
      </c>
      <c r="M15" s="57">
        <v>0</v>
      </c>
      <c r="O15" s="58"/>
    </row>
    <row r="16" spans="1:15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33">
        <f>C16+D16-E16+F16-G16+H16-I16</f>
        <v>15000</v>
      </c>
      <c r="K16" s="49">
        <v>0</v>
      </c>
      <c r="L16" s="74">
        <f>J16-K16+I16</f>
        <v>15000</v>
      </c>
      <c r="M16" s="57">
        <v>0</v>
      </c>
      <c r="O16" s="58"/>
    </row>
    <row r="17" spans="1:15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33">
        <f t="shared" si="0"/>
        <v>0</v>
      </c>
      <c r="K17" s="49">
        <v>0</v>
      </c>
      <c r="L17" s="75">
        <f>-K17+I17</f>
        <v>0</v>
      </c>
      <c r="M17" s="61">
        <f>K17/K18</f>
        <v>0</v>
      </c>
      <c r="O17" s="58"/>
    </row>
    <row r="18" spans="1:15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4">
        <f>SUM(J10:J17)</f>
        <v>10577202.25</v>
      </c>
      <c r="K18" s="95">
        <f>ROUND((SUM(K10:K17)),2)</f>
        <v>1285099.32</v>
      </c>
      <c r="L18" s="94">
        <f>SUM(L10:L17)</f>
        <v>9292102.9299999997</v>
      </c>
      <c r="M18" s="96">
        <f>SUM(M17:M17)</f>
        <v>0</v>
      </c>
      <c r="O18" s="58"/>
    </row>
    <row r="19" spans="1:15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82"/>
      <c r="L19" s="43"/>
      <c r="M19" s="43"/>
      <c r="O19" s="58"/>
    </row>
    <row r="20" spans="1:15">
      <c r="A20" s="78" t="s">
        <v>5</v>
      </c>
      <c r="B20" s="79" t="s">
        <v>102</v>
      </c>
      <c r="C20" s="43"/>
      <c r="D20" s="43"/>
      <c r="E20" s="43"/>
      <c r="F20" s="43"/>
      <c r="G20" s="43"/>
      <c r="H20" s="43"/>
      <c r="I20" s="43"/>
      <c r="J20" s="43"/>
      <c r="K20" s="82"/>
      <c r="L20" s="43"/>
      <c r="M20" s="43"/>
      <c r="O20" s="58"/>
    </row>
    <row r="21" spans="1:15">
      <c r="A21" s="23">
        <v>0</v>
      </c>
      <c r="B21" s="23" t="s">
        <v>9</v>
      </c>
      <c r="C21" s="33"/>
      <c r="D21" s="33"/>
      <c r="E21" s="33"/>
      <c r="F21" s="33"/>
      <c r="G21" s="33"/>
      <c r="H21" s="33"/>
      <c r="I21" s="33"/>
      <c r="J21" s="33"/>
      <c r="K21" s="81"/>
      <c r="L21" s="49"/>
      <c r="M21" s="53"/>
      <c r="O21" s="58"/>
    </row>
    <row r="22" spans="1:15">
      <c r="A22" s="19" t="s">
        <v>13</v>
      </c>
      <c r="B22" s="20" t="s">
        <v>79</v>
      </c>
      <c r="C22" s="33">
        <v>669886</v>
      </c>
      <c r="D22" s="33"/>
      <c r="E22" s="33"/>
      <c r="F22" s="33"/>
      <c r="G22" s="33"/>
      <c r="H22" s="33"/>
      <c r="I22" s="33"/>
      <c r="J22" s="33">
        <f t="shared" ref="J22:J69" si="2">C22+D22-E22+F22-G22+H22-I22</f>
        <v>669886</v>
      </c>
      <c r="K22" s="49">
        <v>145172.84999999998</v>
      </c>
      <c r="L22" s="49">
        <f>J22-K22</f>
        <v>524713.15</v>
      </c>
      <c r="M22" s="53">
        <f t="shared" ref="M22:M33" si="3">K22/$K$114</f>
        <v>0.14708435385010532</v>
      </c>
      <c r="O22" s="58"/>
    </row>
    <row r="23" spans="1:15">
      <c r="A23" s="19" t="s">
        <v>31</v>
      </c>
      <c r="B23" s="20" t="s">
        <v>32</v>
      </c>
      <c r="C23" s="33">
        <v>4500</v>
      </c>
      <c r="D23" s="33"/>
      <c r="E23" s="33"/>
      <c r="F23" s="33"/>
      <c r="G23" s="33"/>
      <c r="H23" s="33"/>
      <c r="I23" s="33"/>
      <c r="J23" s="33">
        <f t="shared" si="2"/>
        <v>4500</v>
      </c>
      <c r="K23" s="49">
        <v>1125</v>
      </c>
      <c r="L23" s="49">
        <f t="shared" ref="L23:L69" si="4">J23-K23</f>
        <v>3375</v>
      </c>
      <c r="M23" s="53">
        <f t="shared" si="3"/>
        <v>1.1398129752317222E-3</v>
      </c>
      <c r="O23" s="58"/>
    </row>
    <row r="24" spans="1:15">
      <c r="A24" s="19" t="s">
        <v>14</v>
      </c>
      <c r="B24" s="20" t="s">
        <v>38</v>
      </c>
      <c r="C24" s="33">
        <v>112250</v>
      </c>
      <c r="D24" s="33"/>
      <c r="E24" s="33"/>
      <c r="F24" s="33"/>
      <c r="G24" s="33"/>
      <c r="H24" s="33"/>
      <c r="I24" s="33"/>
      <c r="J24" s="33">
        <f t="shared" si="2"/>
        <v>112250</v>
      </c>
      <c r="K24" s="49">
        <v>24500</v>
      </c>
      <c r="L24" s="49">
        <f t="shared" si="4"/>
        <v>87750</v>
      </c>
      <c r="M24" s="53">
        <f t="shared" si="3"/>
        <v>2.4822593682824173E-2</v>
      </c>
      <c r="O24" s="58"/>
    </row>
    <row r="25" spans="1:15" hidden="1">
      <c r="A25" s="121" t="s">
        <v>114</v>
      </c>
      <c r="B25" s="20" t="s">
        <v>115</v>
      </c>
      <c r="C25" s="33"/>
      <c r="D25" s="33"/>
      <c r="E25" s="33"/>
      <c r="F25" s="33"/>
      <c r="G25" s="33"/>
      <c r="H25" s="33"/>
      <c r="I25" s="33"/>
      <c r="J25" s="33">
        <f t="shared" si="2"/>
        <v>0</v>
      </c>
      <c r="K25" s="49"/>
      <c r="L25" s="49">
        <f t="shared" si="4"/>
        <v>0</v>
      </c>
      <c r="M25" s="53">
        <f t="shared" si="3"/>
        <v>0</v>
      </c>
      <c r="O25" s="58"/>
    </row>
    <row r="26" spans="1:15">
      <c r="A26" s="19" t="s">
        <v>116</v>
      </c>
      <c r="B26" s="20" t="s">
        <v>117</v>
      </c>
      <c r="C26" s="33">
        <v>0</v>
      </c>
      <c r="D26" s="33"/>
      <c r="E26" s="33"/>
      <c r="F26" s="33"/>
      <c r="G26" s="33"/>
      <c r="H26" s="33"/>
      <c r="I26" s="33"/>
      <c r="J26" s="33">
        <f t="shared" si="2"/>
        <v>0</v>
      </c>
      <c r="K26" s="49">
        <v>0</v>
      </c>
      <c r="L26" s="49">
        <f t="shared" si="4"/>
        <v>0</v>
      </c>
      <c r="M26" s="53">
        <f t="shared" si="3"/>
        <v>0</v>
      </c>
      <c r="O26" s="58"/>
    </row>
    <row r="27" spans="1:15">
      <c r="A27" s="19" t="s">
        <v>88</v>
      </c>
      <c r="B27" s="20" t="s">
        <v>89</v>
      </c>
      <c r="C27" s="33">
        <v>15400</v>
      </c>
      <c r="D27" s="33"/>
      <c r="E27" s="33"/>
      <c r="F27" s="33"/>
      <c r="G27" s="33"/>
      <c r="H27" s="33"/>
      <c r="I27" s="33"/>
      <c r="J27" s="33">
        <f t="shared" si="2"/>
        <v>15400</v>
      </c>
      <c r="K27" s="49">
        <v>0</v>
      </c>
      <c r="L27" s="49">
        <f t="shared" si="4"/>
        <v>15400</v>
      </c>
      <c r="M27" s="53">
        <f t="shared" si="3"/>
        <v>0</v>
      </c>
      <c r="O27" s="58"/>
    </row>
    <row r="28" spans="1:15">
      <c r="A28" s="19" t="s">
        <v>20</v>
      </c>
      <c r="B28" s="20" t="s">
        <v>21</v>
      </c>
      <c r="C28" s="33">
        <v>31068.6</v>
      </c>
      <c r="D28" s="33"/>
      <c r="E28" s="33"/>
      <c r="F28" s="33"/>
      <c r="G28" s="33"/>
      <c r="H28" s="33"/>
      <c r="I28" s="33"/>
      <c r="J28" s="33">
        <f t="shared" si="2"/>
        <v>31068.6</v>
      </c>
      <c r="K28" s="49">
        <v>5816.57</v>
      </c>
      <c r="L28" s="49">
        <f t="shared" si="4"/>
        <v>25252.03</v>
      </c>
      <c r="M28" s="53">
        <f t="shared" si="3"/>
        <v>5.8931572954165137E-3</v>
      </c>
      <c r="O28" s="58"/>
    </row>
    <row r="29" spans="1:15">
      <c r="A29" s="19" t="s">
        <v>15</v>
      </c>
      <c r="B29" s="20" t="s">
        <v>110</v>
      </c>
      <c r="C29" s="33">
        <v>94901</v>
      </c>
      <c r="D29" s="33"/>
      <c r="E29" s="33"/>
      <c r="F29" s="33"/>
      <c r="G29" s="33"/>
      <c r="H29" s="33"/>
      <c r="I29" s="33"/>
      <c r="J29" s="33">
        <f t="shared" si="2"/>
        <v>94901</v>
      </c>
      <c r="K29" s="49">
        <v>10587.23</v>
      </c>
      <c r="L29" s="49">
        <f t="shared" si="4"/>
        <v>84313.77</v>
      </c>
      <c r="M29" s="53">
        <f t="shared" si="3"/>
        <v>1.0726633000677818E-2</v>
      </c>
      <c r="O29" s="58"/>
    </row>
    <row r="30" spans="1:15">
      <c r="A30" s="19" t="s">
        <v>16</v>
      </c>
      <c r="B30" s="20" t="s">
        <v>111</v>
      </c>
      <c r="C30" s="33">
        <v>8132.05</v>
      </c>
      <c r="D30" s="33"/>
      <c r="E30" s="33"/>
      <c r="F30" s="33"/>
      <c r="G30" s="33"/>
      <c r="H30" s="33"/>
      <c r="I30" s="33"/>
      <c r="J30" s="33">
        <f t="shared" si="2"/>
        <v>8132.05</v>
      </c>
      <c r="K30" s="49">
        <v>992.24</v>
      </c>
      <c r="L30" s="49">
        <f t="shared" si="4"/>
        <v>7139.81</v>
      </c>
      <c r="M30" s="53">
        <f t="shared" si="3"/>
        <v>1.0053049124834881E-3</v>
      </c>
      <c r="O30" s="58"/>
    </row>
    <row r="31" spans="1:15">
      <c r="A31" s="19" t="s">
        <v>17</v>
      </c>
      <c r="B31" s="21" t="s">
        <v>77</v>
      </c>
      <c r="C31" s="33">
        <v>59303</v>
      </c>
      <c r="D31" s="33"/>
      <c r="E31" s="33"/>
      <c r="F31" s="33"/>
      <c r="G31" s="33"/>
      <c r="H31" s="33"/>
      <c r="I31" s="33"/>
      <c r="J31" s="33">
        <f t="shared" si="2"/>
        <v>59303</v>
      </c>
      <c r="K31" s="49">
        <v>0</v>
      </c>
      <c r="L31" s="49">
        <f t="shared" si="4"/>
        <v>59303</v>
      </c>
      <c r="M31" s="53">
        <f t="shared" si="3"/>
        <v>0</v>
      </c>
      <c r="O31" s="58"/>
    </row>
    <row r="32" spans="1:15">
      <c r="A32" s="19" t="s">
        <v>18</v>
      </c>
      <c r="B32" s="20" t="s">
        <v>80</v>
      </c>
      <c r="C32" s="33">
        <v>59303</v>
      </c>
      <c r="D32" s="33"/>
      <c r="E32" s="33"/>
      <c r="F32" s="33"/>
      <c r="G32" s="33"/>
      <c r="H32" s="33"/>
      <c r="I32" s="33"/>
      <c r="J32" s="33">
        <f t="shared" si="2"/>
        <v>59303</v>
      </c>
      <c r="K32" s="49">
        <v>0</v>
      </c>
      <c r="L32" s="49">
        <f t="shared" si="4"/>
        <v>59303</v>
      </c>
      <c r="M32" s="53">
        <f t="shared" si="3"/>
        <v>0</v>
      </c>
      <c r="O32" s="58"/>
    </row>
    <row r="33" spans="1:15">
      <c r="A33" s="19" t="s">
        <v>19</v>
      </c>
      <c r="B33" s="20" t="s">
        <v>78</v>
      </c>
      <c r="C33" s="33">
        <v>4000</v>
      </c>
      <c r="D33" s="33"/>
      <c r="E33" s="33"/>
      <c r="F33" s="33"/>
      <c r="G33" s="33"/>
      <c r="H33" s="33"/>
      <c r="I33" s="33"/>
      <c r="J33" s="33">
        <f t="shared" si="2"/>
        <v>4000</v>
      </c>
      <c r="K33" s="49">
        <v>0</v>
      </c>
      <c r="L33" s="49">
        <f t="shared" si="4"/>
        <v>4000</v>
      </c>
      <c r="M33" s="53">
        <f t="shared" si="3"/>
        <v>0</v>
      </c>
      <c r="O33" s="58"/>
    </row>
    <row r="34" spans="1:15">
      <c r="A34" s="19"/>
      <c r="B34" s="20"/>
      <c r="C34" s="33"/>
      <c r="D34" s="33"/>
      <c r="E34" s="33"/>
      <c r="F34" s="33"/>
      <c r="G34" s="33"/>
      <c r="H34" s="33"/>
      <c r="I34" s="33"/>
      <c r="J34" s="33"/>
      <c r="K34" s="81"/>
      <c r="L34" s="49"/>
      <c r="M34" s="53"/>
      <c r="O34" s="58"/>
    </row>
    <row r="35" spans="1:15">
      <c r="A35" s="23">
        <v>1</v>
      </c>
      <c r="B35" s="23" t="s">
        <v>10</v>
      </c>
      <c r="C35" s="33"/>
      <c r="D35" s="33"/>
      <c r="E35" s="33"/>
      <c r="F35" s="33"/>
      <c r="G35" s="33"/>
      <c r="H35" s="33"/>
      <c r="I35" s="33"/>
      <c r="J35" s="33"/>
      <c r="K35" s="83"/>
      <c r="L35" s="49"/>
      <c r="M35" s="53"/>
      <c r="O35" s="58"/>
    </row>
    <row r="36" spans="1:15">
      <c r="A36" s="24">
        <v>111</v>
      </c>
      <c r="B36" s="20" t="s">
        <v>39</v>
      </c>
      <c r="C36" s="33">
        <v>13125</v>
      </c>
      <c r="D36" s="33"/>
      <c r="E36" s="33"/>
      <c r="F36" s="33"/>
      <c r="G36" s="33"/>
      <c r="H36" s="33"/>
      <c r="I36" s="33"/>
      <c r="J36" s="33">
        <f t="shared" si="2"/>
        <v>13125</v>
      </c>
      <c r="K36" s="49">
        <v>1956.5699999999997</v>
      </c>
      <c r="L36" s="49">
        <f t="shared" si="4"/>
        <v>11168.43</v>
      </c>
      <c r="M36" s="53">
        <f t="shared" ref="M36:M69" si="5">K36/$K$114</f>
        <v>1.9823323315103381E-3</v>
      </c>
      <c r="O36" s="58"/>
    </row>
    <row r="37" spans="1:15">
      <c r="A37" s="24">
        <v>113</v>
      </c>
      <c r="B37" s="20" t="s">
        <v>48</v>
      </c>
      <c r="C37" s="33">
        <v>24780</v>
      </c>
      <c r="D37" s="33"/>
      <c r="E37" s="33"/>
      <c r="F37" s="33"/>
      <c r="G37" s="33"/>
      <c r="H37" s="33"/>
      <c r="I37" s="33"/>
      <c r="J37" s="33">
        <f t="shared" si="2"/>
        <v>24780</v>
      </c>
      <c r="K37" s="49">
        <v>4336</v>
      </c>
      <c r="L37" s="49">
        <f t="shared" si="4"/>
        <v>20444</v>
      </c>
      <c r="M37" s="53">
        <f t="shared" si="5"/>
        <v>4.3930924983153312E-3</v>
      </c>
      <c r="O37" s="58"/>
    </row>
    <row r="38" spans="1:15">
      <c r="A38" s="24">
        <v>114</v>
      </c>
      <c r="B38" s="20" t="s">
        <v>109</v>
      </c>
      <c r="C38" s="33">
        <v>2500</v>
      </c>
      <c r="D38" s="33"/>
      <c r="E38" s="33"/>
      <c r="F38" s="33"/>
      <c r="G38" s="33"/>
      <c r="H38" s="33"/>
      <c r="I38" s="33"/>
      <c r="J38" s="33">
        <f t="shared" si="2"/>
        <v>2500</v>
      </c>
      <c r="K38" s="49">
        <v>533.79</v>
      </c>
      <c r="L38" s="49">
        <f t="shared" si="4"/>
        <v>1966.21</v>
      </c>
      <c r="M38" s="53">
        <f t="shared" si="5"/>
        <v>5.4081846048794745E-4</v>
      </c>
      <c r="O38" s="58"/>
    </row>
    <row r="39" spans="1:15">
      <c r="A39" s="24">
        <v>121</v>
      </c>
      <c r="B39" s="20" t="s">
        <v>50</v>
      </c>
      <c r="C39" s="33">
        <v>12250</v>
      </c>
      <c r="D39" s="33"/>
      <c r="E39" s="33"/>
      <c r="F39" s="33"/>
      <c r="G39" s="33"/>
      <c r="H39" s="33"/>
      <c r="I39" s="33"/>
      <c r="J39" s="33">
        <f t="shared" si="2"/>
        <v>12250</v>
      </c>
      <c r="K39" s="49">
        <v>2040</v>
      </c>
      <c r="L39" s="49">
        <f t="shared" si="4"/>
        <v>10210</v>
      </c>
      <c r="M39" s="53">
        <f t="shared" si="5"/>
        <v>2.0668608617535229E-3</v>
      </c>
      <c r="O39" s="58"/>
    </row>
    <row r="40" spans="1:15">
      <c r="A40" s="24">
        <v>122</v>
      </c>
      <c r="B40" s="20" t="s">
        <v>81</v>
      </c>
      <c r="C40" s="33">
        <v>29000</v>
      </c>
      <c r="D40" s="33"/>
      <c r="E40" s="33"/>
      <c r="F40" s="33"/>
      <c r="G40" s="33"/>
      <c r="H40" s="33"/>
      <c r="I40" s="33"/>
      <c r="J40" s="33">
        <f t="shared" si="2"/>
        <v>29000</v>
      </c>
      <c r="K40" s="49">
        <v>16961.5</v>
      </c>
      <c r="L40" s="49">
        <f t="shared" si="4"/>
        <v>12038.5</v>
      </c>
      <c r="M40" s="53">
        <f t="shared" si="5"/>
        <v>1.7184833581682539E-2</v>
      </c>
      <c r="N40" s="63"/>
      <c r="O40" s="58"/>
    </row>
    <row r="41" spans="1:15">
      <c r="A41" s="24">
        <v>131</v>
      </c>
      <c r="B41" s="20" t="s">
        <v>51</v>
      </c>
      <c r="C41" s="33">
        <v>1251963.1500000001</v>
      </c>
      <c r="D41" s="33"/>
      <c r="E41" s="33"/>
      <c r="F41" s="33"/>
      <c r="G41" s="33"/>
      <c r="H41" s="33"/>
      <c r="I41" s="33"/>
      <c r="J41" s="33">
        <f t="shared" si="2"/>
        <v>1251963.1500000001</v>
      </c>
      <c r="K41" s="49">
        <v>360813.28</v>
      </c>
      <c r="L41" s="49">
        <f t="shared" si="4"/>
        <v>891149.87000000011</v>
      </c>
      <c r="M41" s="53">
        <f t="shared" si="5"/>
        <v>0.3655641406043702</v>
      </c>
      <c r="O41" s="58"/>
    </row>
    <row r="42" spans="1:15">
      <c r="A42" s="24">
        <v>133</v>
      </c>
      <c r="B42" s="20" t="s">
        <v>52</v>
      </c>
      <c r="C42" s="33">
        <v>1500</v>
      </c>
      <c r="D42" s="33"/>
      <c r="E42" s="33"/>
      <c r="F42" s="33"/>
      <c r="G42" s="33"/>
      <c r="H42" s="33"/>
      <c r="I42" s="33"/>
      <c r="J42" s="33">
        <f t="shared" si="2"/>
        <v>1500</v>
      </c>
      <c r="K42" s="49">
        <v>0</v>
      </c>
      <c r="L42" s="49">
        <f t="shared" si="4"/>
        <v>1500</v>
      </c>
      <c r="M42" s="53">
        <f t="shared" si="5"/>
        <v>0</v>
      </c>
      <c r="O42" s="58"/>
    </row>
    <row r="43" spans="1:15" hidden="1">
      <c r="A43" s="120">
        <v>134</v>
      </c>
      <c r="B43" s="20" t="s">
        <v>82</v>
      </c>
      <c r="C43" s="33">
        <v>0</v>
      </c>
      <c r="D43" s="33"/>
      <c r="E43" s="33"/>
      <c r="F43" s="33"/>
      <c r="G43" s="33"/>
      <c r="H43" s="33"/>
      <c r="I43" s="33"/>
      <c r="J43" s="33">
        <f t="shared" si="2"/>
        <v>0</v>
      </c>
      <c r="K43" s="49"/>
      <c r="L43" s="49">
        <f t="shared" si="4"/>
        <v>0</v>
      </c>
      <c r="M43" s="53">
        <f t="shared" si="5"/>
        <v>0</v>
      </c>
      <c r="O43" s="58"/>
    </row>
    <row r="44" spans="1:15">
      <c r="A44" s="24">
        <v>135</v>
      </c>
      <c r="B44" s="20" t="s">
        <v>90</v>
      </c>
      <c r="C44" s="33">
        <v>100840.04999999999</v>
      </c>
      <c r="D44" s="33"/>
      <c r="E44" s="33"/>
      <c r="F44" s="33"/>
      <c r="G44" s="33"/>
      <c r="H44" s="33"/>
      <c r="I44" s="33"/>
      <c r="J44" s="33">
        <f t="shared" si="2"/>
        <v>100840.04999999999</v>
      </c>
      <c r="K44" s="49">
        <v>41772.910000000003</v>
      </c>
      <c r="L44" s="49">
        <f t="shared" si="4"/>
        <v>59067.139999999985</v>
      </c>
      <c r="M44" s="53">
        <f t="shared" si="5"/>
        <v>4.2322937627721748E-2</v>
      </c>
      <c r="O44" s="58"/>
    </row>
    <row r="45" spans="1:15">
      <c r="A45" s="24">
        <v>141</v>
      </c>
      <c r="B45" s="20" t="s">
        <v>71</v>
      </c>
      <c r="C45" s="33">
        <v>846850</v>
      </c>
      <c r="D45" s="33"/>
      <c r="E45" s="33"/>
      <c r="F45" s="33"/>
      <c r="G45" s="33"/>
      <c r="H45" s="33"/>
      <c r="I45" s="33"/>
      <c r="J45" s="33">
        <f t="shared" si="2"/>
        <v>846850</v>
      </c>
      <c r="K45" s="49">
        <v>182673.57</v>
      </c>
      <c r="L45" s="49">
        <f t="shared" si="4"/>
        <v>664176.42999999993</v>
      </c>
      <c r="M45" s="53">
        <f t="shared" si="5"/>
        <v>0.18507884917146691</v>
      </c>
      <c r="O45" s="58"/>
    </row>
    <row r="46" spans="1:15">
      <c r="A46" s="24">
        <v>142</v>
      </c>
      <c r="B46" s="20" t="s">
        <v>22</v>
      </c>
      <c r="C46" s="33">
        <v>16000</v>
      </c>
      <c r="D46" s="33"/>
      <c r="E46" s="33"/>
      <c r="F46" s="33"/>
      <c r="G46" s="33"/>
      <c r="H46" s="33"/>
      <c r="I46" s="33"/>
      <c r="J46" s="33">
        <f t="shared" si="2"/>
        <v>16000</v>
      </c>
      <c r="K46" s="49">
        <v>0</v>
      </c>
      <c r="L46" s="49">
        <f t="shared" si="4"/>
        <v>16000</v>
      </c>
      <c r="M46" s="53">
        <f t="shared" si="5"/>
        <v>0</v>
      </c>
      <c r="O46" s="58"/>
    </row>
    <row r="47" spans="1:15">
      <c r="A47" s="24">
        <v>143</v>
      </c>
      <c r="B47" s="20" t="s">
        <v>112</v>
      </c>
      <c r="C47" s="33">
        <v>27000</v>
      </c>
      <c r="D47" s="33"/>
      <c r="E47" s="33"/>
      <c r="F47" s="33"/>
      <c r="G47" s="33"/>
      <c r="H47" s="33"/>
      <c r="I47" s="33"/>
      <c r="J47" s="33">
        <f t="shared" si="2"/>
        <v>27000</v>
      </c>
      <c r="K47" s="49">
        <v>0</v>
      </c>
      <c r="L47" s="49">
        <f t="shared" si="4"/>
        <v>27000</v>
      </c>
      <c r="M47" s="53">
        <f t="shared" si="5"/>
        <v>0</v>
      </c>
      <c r="O47" s="58"/>
    </row>
    <row r="48" spans="1:15">
      <c r="A48" s="24">
        <v>151</v>
      </c>
      <c r="B48" s="20" t="s">
        <v>118</v>
      </c>
      <c r="C48" s="33">
        <v>70560</v>
      </c>
      <c r="D48" s="33"/>
      <c r="E48" s="33"/>
      <c r="F48" s="33"/>
      <c r="G48" s="33"/>
      <c r="H48" s="33"/>
      <c r="I48" s="33"/>
      <c r="J48" s="33">
        <f t="shared" si="2"/>
        <v>70560</v>
      </c>
      <c r="K48" s="49">
        <v>17377.5</v>
      </c>
      <c r="L48" s="49">
        <f t="shared" si="4"/>
        <v>53182.5</v>
      </c>
      <c r="M48" s="53">
        <f t="shared" si="5"/>
        <v>1.7606311090746E-2</v>
      </c>
      <c r="O48" s="58"/>
    </row>
    <row r="49" spans="1:15" hidden="1">
      <c r="A49" s="120">
        <v>155</v>
      </c>
      <c r="B49" s="20" t="s">
        <v>33</v>
      </c>
      <c r="C49" s="33">
        <v>0</v>
      </c>
      <c r="D49" s="33"/>
      <c r="E49" s="33"/>
      <c r="F49" s="33"/>
      <c r="G49" s="33"/>
      <c r="H49" s="33"/>
      <c r="I49" s="33"/>
      <c r="J49" s="33">
        <f t="shared" si="2"/>
        <v>0</v>
      </c>
      <c r="K49" s="49"/>
      <c r="L49" s="49">
        <f t="shared" si="4"/>
        <v>0</v>
      </c>
      <c r="M49" s="53">
        <f t="shared" si="5"/>
        <v>0</v>
      </c>
      <c r="O49" s="58"/>
    </row>
    <row r="50" spans="1:15">
      <c r="A50" s="24">
        <v>158</v>
      </c>
      <c r="B50" s="20" t="s">
        <v>91</v>
      </c>
      <c r="C50" s="33">
        <v>6550</v>
      </c>
      <c r="D50" s="33"/>
      <c r="E50" s="33"/>
      <c r="F50" s="33"/>
      <c r="G50" s="33"/>
      <c r="H50" s="33"/>
      <c r="I50" s="33"/>
      <c r="J50" s="33">
        <f t="shared" si="2"/>
        <v>6550</v>
      </c>
      <c r="K50" s="49">
        <v>0</v>
      </c>
      <c r="L50" s="49">
        <f t="shared" si="4"/>
        <v>6550</v>
      </c>
      <c r="M50" s="53">
        <f t="shared" si="5"/>
        <v>0</v>
      </c>
      <c r="O50" s="58"/>
    </row>
    <row r="51" spans="1:15">
      <c r="A51" s="24">
        <v>162</v>
      </c>
      <c r="B51" s="20" t="s">
        <v>53</v>
      </c>
      <c r="C51" s="33">
        <v>2000</v>
      </c>
      <c r="D51" s="33"/>
      <c r="E51" s="33"/>
      <c r="F51" s="33"/>
      <c r="G51" s="33"/>
      <c r="H51" s="33"/>
      <c r="I51" s="33"/>
      <c r="J51" s="33">
        <f t="shared" si="2"/>
        <v>2000</v>
      </c>
      <c r="K51" s="49">
        <v>0</v>
      </c>
      <c r="L51" s="49">
        <f t="shared" si="4"/>
        <v>2000</v>
      </c>
      <c r="M51" s="53">
        <f t="shared" si="5"/>
        <v>0</v>
      </c>
      <c r="O51" s="58"/>
    </row>
    <row r="52" spans="1:15">
      <c r="A52" s="24">
        <v>164</v>
      </c>
      <c r="B52" s="20" t="s">
        <v>40</v>
      </c>
      <c r="C52" s="33">
        <v>20000</v>
      </c>
      <c r="D52" s="33"/>
      <c r="E52" s="33"/>
      <c r="F52" s="33"/>
      <c r="G52" s="33"/>
      <c r="H52" s="33"/>
      <c r="I52" s="33"/>
      <c r="J52" s="33">
        <f t="shared" si="2"/>
        <v>20000</v>
      </c>
      <c r="K52" s="49">
        <v>0</v>
      </c>
      <c r="L52" s="49">
        <f t="shared" si="4"/>
        <v>20000</v>
      </c>
      <c r="M52" s="53">
        <f t="shared" si="5"/>
        <v>0</v>
      </c>
      <c r="O52" s="58"/>
    </row>
    <row r="53" spans="1:15">
      <c r="A53" s="24">
        <v>165</v>
      </c>
      <c r="B53" s="20" t="s">
        <v>92</v>
      </c>
      <c r="C53" s="33">
        <v>6900</v>
      </c>
      <c r="D53" s="33"/>
      <c r="E53" s="33"/>
      <c r="F53" s="33"/>
      <c r="G53" s="33"/>
      <c r="H53" s="33"/>
      <c r="I53" s="33"/>
      <c r="J53" s="33">
        <f t="shared" si="2"/>
        <v>6900</v>
      </c>
      <c r="K53" s="49">
        <v>1210.7</v>
      </c>
      <c r="L53" s="49">
        <f t="shared" si="4"/>
        <v>5689.3</v>
      </c>
      <c r="M53" s="53">
        <f t="shared" si="5"/>
        <v>1.226641394767152E-3</v>
      </c>
      <c r="O53" s="58"/>
    </row>
    <row r="54" spans="1:15">
      <c r="A54" s="24">
        <v>168</v>
      </c>
      <c r="B54" s="20" t="s">
        <v>54</v>
      </c>
      <c r="C54" s="33">
        <v>3000</v>
      </c>
      <c r="D54" s="33"/>
      <c r="E54" s="33"/>
      <c r="F54" s="33"/>
      <c r="G54" s="33"/>
      <c r="H54" s="33"/>
      <c r="I54" s="33"/>
      <c r="J54" s="33">
        <f t="shared" si="2"/>
        <v>3000</v>
      </c>
      <c r="K54" s="49">
        <v>0</v>
      </c>
      <c r="L54" s="49">
        <f t="shared" si="4"/>
        <v>3000</v>
      </c>
      <c r="M54" s="53">
        <f t="shared" si="5"/>
        <v>0</v>
      </c>
      <c r="O54" s="58"/>
    </row>
    <row r="55" spans="1:15">
      <c r="A55" s="24">
        <v>174</v>
      </c>
      <c r="B55" s="20" t="s">
        <v>41</v>
      </c>
      <c r="C55" s="33">
        <v>5000</v>
      </c>
      <c r="D55" s="33"/>
      <c r="E55" s="33"/>
      <c r="F55" s="33"/>
      <c r="G55" s="33"/>
      <c r="H55" s="33"/>
      <c r="I55" s="33"/>
      <c r="J55" s="33">
        <f t="shared" si="2"/>
        <v>5000</v>
      </c>
      <c r="K55" s="49">
        <v>0</v>
      </c>
      <c r="L55" s="49">
        <f t="shared" si="4"/>
        <v>5000</v>
      </c>
      <c r="M55" s="53">
        <f t="shared" si="5"/>
        <v>0</v>
      </c>
      <c r="O55" s="58"/>
    </row>
    <row r="56" spans="1:15">
      <c r="A56" s="24">
        <v>181</v>
      </c>
      <c r="B56" s="20" t="s">
        <v>139</v>
      </c>
      <c r="C56" s="33">
        <v>158000</v>
      </c>
      <c r="D56" s="33"/>
      <c r="E56" s="33"/>
      <c r="F56" s="33"/>
      <c r="G56" s="33"/>
      <c r="H56" s="33"/>
      <c r="I56" s="33"/>
      <c r="J56" s="33">
        <f t="shared" si="2"/>
        <v>158000</v>
      </c>
      <c r="K56" s="49">
        <v>0</v>
      </c>
      <c r="L56" s="49">
        <f t="shared" si="4"/>
        <v>158000</v>
      </c>
      <c r="M56" s="53">
        <f t="shared" si="5"/>
        <v>0</v>
      </c>
      <c r="O56" s="58"/>
    </row>
    <row r="57" spans="1:15" hidden="1">
      <c r="A57" s="120">
        <v>182</v>
      </c>
      <c r="B57" s="20" t="s">
        <v>56</v>
      </c>
      <c r="C57" s="33">
        <v>0</v>
      </c>
      <c r="D57" s="33"/>
      <c r="E57" s="33"/>
      <c r="F57" s="33"/>
      <c r="G57" s="33"/>
      <c r="H57" s="33"/>
      <c r="I57" s="33"/>
      <c r="J57" s="33">
        <f t="shared" si="2"/>
        <v>0</v>
      </c>
      <c r="K57" s="49"/>
      <c r="L57" s="49">
        <f t="shared" si="4"/>
        <v>0</v>
      </c>
      <c r="M57" s="53">
        <f t="shared" si="5"/>
        <v>0</v>
      </c>
      <c r="O57" s="58"/>
    </row>
    <row r="58" spans="1:15">
      <c r="A58" s="24">
        <v>183</v>
      </c>
      <c r="B58" s="20" t="s">
        <v>93</v>
      </c>
      <c r="C58" s="33">
        <v>85000</v>
      </c>
      <c r="D58" s="33"/>
      <c r="E58" s="33"/>
      <c r="F58" s="33"/>
      <c r="G58" s="33"/>
      <c r="H58" s="33"/>
      <c r="I58" s="33"/>
      <c r="J58" s="33">
        <f t="shared" si="2"/>
        <v>85000</v>
      </c>
      <c r="K58" s="49">
        <v>10250</v>
      </c>
      <c r="L58" s="49">
        <f t="shared" si="4"/>
        <v>74750</v>
      </c>
      <c r="M58" s="53">
        <f t="shared" si="5"/>
        <v>1.0384962663222358E-2</v>
      </c>
      <c r="O58" s="58"/>
    </row>
    <row r="59" spans="1:15">
      <c r="A59" s="24">
        <v>184</v>
      </c>
      <c r="B59" s="20" t="s">
        <v>94</v>
      </c>
      <c r="C59" s="33">
        <v>50000</v>
      </c>
      <c r="D59" s="33"/>
      <c r="E59" s="33"/>
      <c r="F59" s="33"/>
      <c r="G59" s="33"/>
      <c r="H59" s="33"/>
      <c r="I59" s="33"/>
      <c r="J59" s="33">
        <f t="shared" si="2"/>
        <v>50000</v>
      </c>
      <c r="K59" s="49">
        <v>11821.43</v>
      </c>
      <c r="L59" s="49">
        <f t="shared" si="4"/>
        <v>38178.57</v>
      </c>
      <c r="M59" s="53">
        <f t="shared" si="5"/>
        <v>1.19770838220387E-2</v>
      </c>
      <c r="O59" s="58"/>
    </row>
    <row r="60" spans="1:15">
      <c r="A60" s="24">
        <v>185</v>
      </c>
      <c r="B60" s="20" t="s">
        <v>95</v>
      </c>
      <c r="C60" s="33">
        <v>15000</v>
      </c>
      <c r="D60" s="33"/>
      <c r="E60" s="33"/>
      <c r="F60" s="33"/>
      <c r="G60" s="33"/>
      <c r="H60" s="33"/>
      <c r="I60" s="33"/>
      <c r="J60" s="33">
        <f t="shared" si="2"/>
        <v>15000</v>
      </c>
      <c r="K60" s="49">
        <v>1518</v>
      </c>
      <c r="L60" s="49">
        <f t="shared" si="4"/>
        <v>13482</v>
      </c>
      <c r="M60" s="53">
        <f t="shared" si="5"/>
        <v>1.5379876412460038E-3</v>
      </c>
      <c r="O60" s="58"/>
    </row>
    <row r="61" spans="1:15">
      <c r="A61" s="24">
        <v>186</v>
      </c>
      <c r="B61" s="20" t="s">
        <v>42</v>
      </c>
      <c r="C61" s="33">
        <v>2000</v>
      </c>
      <c r="D61" s="33"/>
      <c r="E61" s="33"/>
      <c r="F61" s="33"/>
      <c r="G61" s="33"/>
      <c r="H61" s="33"/>
      <c r="I61" s="33"/>
      <c r="J61" s="33">
        <f t="shared" si="2"/>
        <v>2000</v>
      </c>
      <c r="K61" s="49">
        <v>555</v>
      </c>
      <c r="L61" s="49">
        <f t="shared" si="4"/>
        <v>1445</v>
      </c>
      <c r="M61" s="53">
        <f t="shared" si="5"/>
        <v>5.6230773444764957E-4</v>
      </c>
      <c r="O61" s="58"/>
    </row>
    <row r="62" spans="1:15">
      <c r="A62" s="24">
        <v>187</v>
      </c>
      <c r="B62" s="20" t="s">
        <v>96</v>
      </c>
      <c r="C62" s="33">
        <v>20000</v>
      </c>
      <c r="D62" s="33"/>
      <c r="E62" s="33"/>
      <c r="F62" s="33"/>
      <c r="G62" s="33"/>
      <c r="H62" s="33"/>
      <c r="I62" s="33"/>
      <c r="J62" s="33">
        <f t="shared" si="2"/>
        <v>20000</v>
      </c>
      <c r="K62" s="49">
        <v>1600</v>
      </c>
      <c r="L62" s="49">
        <f t="shared" si="4"/>
        <v>18400</v>
      </c>
      <c r="M62" s="53">
        <f t="shared" si="5"/>
        <v>1.6210673425517826E-3</v>
      </c>
      <c r="O62" s="58"/>
    </row>
    <row r="63" spans="1:15">
      <c r="A63" s="24">
        <v>188</v>
      </c>
      <c r="B63" s="20" t="s">
        <v>97</v>
      </c>
      <c r="C63" s="33">
        <v>60000</v>
      </c>
      <c r="D63" s="33"/>
      <c r="E63" s="33"/>
      <c r="F63" s="33"/>
      <c r="G63" s="33"/>
      <c r="H63" s="33"/>
      <c r="I63" s="33"/>
      <c r="J63" s="33">
        <f t="shared" si="2"/>
        <v>60000</v>
      </c>
      <c r="K63" s="49">
        <v>0</v>
      </c>
      <c r="L63" s="49">
        <f t="shared" si="4"/>
        <v>60000</v>
      </c>
      <c r="M63" s="53">
        <f t="shared" si="5"/>
        <v>0</v>
      </c>
      <c r="O63" s="58"/>
    </row>
    <row r="64" spans="1:15">
      <c r="A64" s="24">
        <v>189</v>
      </c>
      <c r="B64" s="20" t="s">
        <v>98</v>
      </c>
      <c r="C64" s="33">
        <v>285000</v>
      </c>
      <c r="D64" s="33"/>
      <c r="E64" s="33"/>
      <c r="F64" s="33"/>
      <c r="G64" s="33"/>
      <c r="H64" s="33"/>
      <c r="I64" s="33"/>
      <c r="J64" s="33">
        <f t="shared" si="2"/>
        <v>285000</v>
      </c>
      <c r="K64" s="49">
        <v>45862.86</v>
      </c>
      <c r="L64" s="49">
        <f t="shared" si="4"/>
        <v>239137.14</v>
      </c>
      <c r="M64" s="53">
        <f t="shared" si="5"/>
        <v>4.6466740363765281E-2</v>
      </c>
      <c r="O64" s="58"/>
    </row>
    <row r="65" spans="1:16">
      <c r="A65" s="24">
        <v>191</v>
      </c>
      <c r="B65" s="20" t="s">
        <v>99</v>
      </c>
      <c r="C65" s="33">
        <v>11250</v>
      </c>
      <c r="D65" s="33"/>
      <c r="E65" s="33"/>
      <c r="F65" s="76"/>
      <c r="G65" s="33"/>
      <c r="H65" s="33"/>
      <c r="I65" s="33"/>
      <c r="J65" s="33">
        <f t="shared" si="2"/>
        <v>11250</v>
      </c>
      <c r="K65" s="49">
        <v>0</v>
      </c>
      <c r="L65" s="49">
        <f t="shared" si="4"/>
        <v>11250</v>
      </c>
      <c r="M65" s="53">
        <f t="shared" si="5"/>
        <v>0</v>
      </c>
      <c r="O65" s="58"/>
    </row>
    <row r="66" spans="1:16">
      <c r="A66" s="24">
        <v>194</v>
      </c>
      <c r="B66" s="20" t="s">
        <v>148</v>
      </c>
      <c r="C66" s="33">
        <v>5000</v>
      </c>
      <c r="D66" s="33"/>
      <c r="E66" s="33"/>
      <c r="F66" s="33"/>
      <c r="G66" s="33"/>
      <c r="H66" s="33"/>
      <c r="I66" s="33"/>
      <c r="J66" s="33">
        <f t="shared" si="2"/>
        <v>5000</v>
      </c>
      <c r="K66" s="49">
        <v>1515.5799999999997</v>
      </c>
      <c r="L66" s="49">
        <f t="shared" si="4"/>
        <v>3484.42</v>
      </c>
      <c r="M66" s="53">
        <f t="shared" si="5"/>
        <v>1.535535776890394E-3</v>
      </c>
      <c r="O66" s="58"/>
    </row>
    <row r="67" spans="1:16">
      <c r="A67" s="24">
        <v>195</v>
      </c>
      <c r="B67" s="20" t="s">
        <v>34</v>
      </c>
      <c r="C67" s="33">
        <v>10000</v>
      </c>
      <c r="D67" s="33"/>
      <c r="E67" s="33"/>
      <c r="F67" s="33"/>
      <c r="G67" s="33"/>
      <c r="H67" s="33"/>
      <c r="I67" s="33"/>
      <c r="J67" s="33">
        <f t="shared" si="2"/>
        <v>10000</v>
      </c>
      <c r="K67" s="49">
        <v>217</v>
      </c>
      <c r="L67" s="49">
        <f t="shared" si="4"/>
        <v>9783</v>
      </c>
      <c r="M67" s="53">
        <f t="shared" si="5"/>
        <v>2.1985725833358551E-4</v>
      </c>
      <c r="O67" s="58"/>
    </row>
    <row r="68" spans="1:16">
      <c r="A68" s="24">
        <v>196</v>
      </c>
      <c r="B68" s="20" t="s">
        <v>100</v>
      </c>
      <c r="C68" s="33">
        <v>20000</v>
      </c>
      <c r="D68" s="33"/>
      <c r="E68" s="33"/>
      <c r="F68" s="33"/>
      <c r="G68" s="33"/>
      <c r="H68" s="33"/>
      <c r="I68" s="33"/>
      <c r="J68" s="33">
        <f t="shared" si="2"/>
        <v>20000</v>
      </c>
      <c r="K68" s="49">
        <v>0</v>
      </c>
      <c r="L68" s="49">
        <f t="shared" si="4"/>
        <v>20000</v>
      </c>
      <c r="M68" s="53">
        <f t="shared" si="5"/>
        <v>0</v>
      </c>
      <c r="O68" s="58"/>
    </row>
    <row r="69" spans="1:16">
      <c r="A69" s="24">
        <v>199</v>
      </c>
      <c r="B69" s="20" t="s">
        <v>55</v>
      </c>
      <c r="C69" s="33">
        <v>25000</v>
      </c>
      <c r="D69" s="33"/>
      <c r="E69" s="33"/>
      <c r="F69" s="33"/>
      <c r="G69" s="33"/>
      <c r="H69" s="33"/>
      <c r="I69" s="33"/>
      <c r="J69" s="33">
        <f t="shared" si="2"/>
        <v>25000</v>
      </c>
      <c r="K69" s="49">
        <v>14618.87</v>
      </c>
      <c r="L69" s="49">
        <f t="shared" si="4"/>
        <v>10381.129999999999</v>
      </c>
      <c r="M69" s="53">
        <f t="shared" si="5"/>
        <v>1.4811357963756237E-2</v>
      </c>
      <c r="O69" s="58"/>
    </row>
    <row r="70" spans="1:16">
      <c r="A70" s="24"/>
      <c r="B70" s="20"/>
      <c r="C70" s="33"/>
      <c r="D70" s="33"/>
      <c r="E70" s="33"/>
      <c r="F70" s="33"/>
      <c r="G70" s="33"/>
      <c r="H70" s="33"/>
      <c r="I70" s="33"/>
      <c r="J70" s="33"/>
      <c r="K70" s="81"/>
      <c r="L70" s="49"/>
      <c r="M70" s="53"/>
      <c r="O70" s="58"/>
    </row>
    <row r="71" spans="1:16">
      <c r="A71" s="23">
        <v>2</v>
      </c>
      <c r="B71" s="23" t="s">
        <v>11</v>
      </c>
      <c r="C71" s="33"/>
      <c r="D71" s="33"/>
      <c r="E71" s="33"/>
      <c r="F71" s="33"/>
      <c r="G71" s="33"/>
      <c r="H71" s="33"/>
      <c r="I71" s="33"/>
      <c r="J71" s="33"/>
      <c r="K71" s="83"/>
      <c r="L71" s="49"/>
      <c r="M71" s="53"/>
      <c r="O71" s="58"/>
    </row>
    <row r="72" spans="1:16">
      <c r="A72" s="24">
        <v>211</v>
      </c>
      <c r="B72" s="20" t="s">
        <v>23</v>
      </c>
      <c r="C72" s="33">
        <v>111400</v>
      </c>
      <c r="D72" s="33"/>
      <c r="E72" s="33"/>
      <c r="F72" s="33"/>
      <c r="G72" s="33"/>
      <c r="H72" s="33"/>
      <c r="I72" s="33"/>
      <c r="J72" s="33">
        <f t="shared" ref="J72:J97" si="6">C72+D72-E72+F72-G72+H72-I72</f>
        <v>111400</v>
      </c>
      <c r="K72" s="49">
        <v>15964.500000000002</v>
      </c>
      <c r="L72" s="49">
        <f t="shared" ref="L72:L97" si="7">J72-K72</f>
        <v>95435.5</v>
      </c>
      <c r="M72" s="53">
        <f t="shared" ref="M72:M97" si="8">K72/$K$114</f>
        <v>1.6174705993854961E-2</v>
      </c>
      <c r="O72" s="58"/>
    </row>
    <row r="73" spans="1:16" hidden="1">
      <c r="A73" s="120">
        <v>219</v>
      </c>
      <c r="B73" s="20" t="s">
        <v>24</v>
      </c>
      <c r="C73" s="33">
        <v>0</v>
      </c>
      <c r="D73" s="33"/>
      <c r="E73" s="33"/>
      <c r="F73" s="33"/>
      <c r="G73" s="33"/>
      <c r="H73" s="33"/>
      <c r="I73" s="33"/>
      <c r="J73" s="33">
        <f t="shared" si="6"/>
        <v>0</v>
      </c>
      <c r="K73" s="49"/>
      <c r="L73" s="49">
        <f t="shared" si="7"/>
        <v>0</v>
      </c>
      <c r="M73" s="53">
        <f t="shared" si="8"/>
        <v>0</v>
      </c>
      <c r="O73" s="58"/>
    </row>
    <row r="74" spans="1:16">
      <c r="A74" s="24">
        <v>232</v>
      </c>
      <c r="B74" s="20" t="s">
        <v>57</v>
      </c>
      <c r="C74" s="33">
        <v>1080</v>
      </c>
      <c r="D74" s="33"/>
      <c r="E74" s="33"/>
      <c r="F74" s="33"/>
      <c r="G74" s="33"/>
      <c r="H74" s="33"/>
      <c r="I74" s="33"/>
      <c r="J74" s="33">
        <f t="shared" si="6"/>
        <v>1080</v>
      </c>
      <c r="K74" s="49">
        <v>200</v>
      </c>
      <c r="L74" s="49">
        <f t="shared" si="7"/>
        <v>880</v>
      </c>
      <c r="M74" s="53">
        <f t="shared" si="8"/>
        <v>2.0263341781897283E-4</v>
      </c>
      <c r="O74" s="58"/>
    </row>
    <row r="75" spans="1:16">
      <c r="A75" s="24">
        <v>233</v>
      </c>
      <c r="B75" s="20" t="s">
        <v>70</v>
      </c>
      <c r="C75" s="33">
        <v>58000</v>
      </c>
      <c r="D75" s="33"/>
      <c r="E75" s="33"/>
      <c r="F75" s="33"/>
      <c r="G75" s="33"/>
      <c r="H75" s="33"/>
      <c r="I75" s="33"/>
      <c r="J75" s="33">
        <f t="shared" si="6"/>
        <v>58000</v>
      </c>
      <c r="K75" s="49">
        <v>0</v>
      </c>
      <c r="L75" s="49">
        <f t="shared" si="7"/>
        <v>58000</v>
      </c>
      <c r="M75" s="53">
        <f t="shared" si="8"/>
        <v>0</v>
      </c>
      <c r="O75" s="58"/>
      <c r="P75" s="87"/>
    </row>
    <row r="76" spans="1:16">
      <c r="A76" s="24">
        <v>241</v>
      </c>
      <c r="B76" s="20" t="s">
        <v>58</v>
      </c>
      <c r="C76" s="33">
        <v>6000</v>
      </c>
      <c r="D76" s="33"/>
      <c r="E76" s="33"/>
      <c r="F76" s="33"/>
      <c r="G76" s="33"/>
      <c r="H76" s="33"/>
      <c r="I76" s="33"/>
      <c r="J76" s="33">
        <f t="shared" si="6"/>
        <v>6000</v>
      </c>
      <c r="K76" s="49">
        <v>993</v>
      </c>
      <c r="L76" s="49">
        <f t="shared" si="7"/>
        <v>5007</v>
      </c>
      <c r="M76" s="53">
        <f t="shared" si="8"/>
        <v>1.0060749194712002E-3</v>
      </c>
      <c r="O76" s="58"/>
      <c r="P76" s="87"/>
    </row>
    <row r="77" spans="1:16">
      <c r="A77" s="24">
        <v>243</v>
      </c>
      <c r="B77" s="20" t="s">
        <v>43</v>
      </c>
      <c r="C77" s="33">
        <v>1100</v>
      </c>
      <c r="D77" s="33"/>
      <c r="E77" s="33"/>
      <c r="F77" s="33"/>
      <c r="G77" s="33"/>
      <c r="H77" s="33"/>
      <c r="I77" s="33"/>
      <c r="J77" s="33">
        <f t="shared" si="6"/>
        <v>1100</v>
      </c>
      <c r="K77" s="49">
        <v>290</v>
      </c>
      <c r="L77" s="49">
        <f t="shared" si="7"/>
        <v>810</v>
      </c>
      <c r="M77" s="53">
        <f t="shared" si="8"/>
        <v>2.9381845583751059E-4</v>
      </c>
      <c r="O77" s="58"/>
    </row>
    <row r="78" spans="1:16">
      <c r="A78" s="24">
        <v>244</v>
      </c>
      <c r="B78" s="20" t="s">
        <v>44</v>
      </c>
      <c r="C78" s="33">
        <v>2255</v>
      </c>
      <c r="D78" s="33"/>
      <c r="E78" s="33"/>
      <c r="F78" s="33"/>
      <c r="G78" s="33"/>
      <c r="H78" s="33"/>
      <c r="I78" s="33"/>
      <c r="J78" s="33">
        <f t="shared" si="6"/>
        <v>2255</v>
      </c>
      <c r="K78" s="49">
        <v>380.2</v>
      </c>
      <c r="L78" s="49">
        <f t="shared" si="7"/>
        <v>1874.8</v>
      </c>
      <c r="M78" s="53">
        <f t="shared" si="8"/>
        <v>3.8520612727386736E-4</v>
      </c>
      <c r="O78" s="58"/>
    </row>
    <row r="79" spans="1:16">
      <c r="A79" s="24">
        <v>245</v>
      </c>
      <c r="B79" s="20" t="s">
        <v>45</v>
      </c>
      <c r="C79" s="33">
        <v>1300</v>
      </c>
      <c r="D79" s="33"/>
      <c r="E79" s="33"/>
      <c r="F79" s="33"/>
      <c r="G79" s="33"/>
      <c r="H79" s="33"/>
      <c r="I79" s="33"/>
      <c r="J79" s="33">
        <f t="shared" si="6"/>
        <v>1300</v>
      </c>
      <c r="K79" s="49">
        <v>0</v>
      </c>
      <c r="L79" s="49">
        <f t="shared" si="7"/>
        <v>1300</v>
      </c>
      <c r="M79" s="53">
        <f t="shared" si="8"/>
        <v>0</v>
      </c>
      <c r="O79" s="58"/>
    </row>
    <row r="80" spans="1:16">
      <c r="A80" s="24">
        <v>253</v>
      </c>
      <c r="B80" s="20" t="s">
        <v>37</v>
      </c>
      <c r="C80" s="33">
        <v>7500</v>
      </c>
      <c r="D80" s="33"/>
      <c r="E80" s="33"/>
      <c r="F80" s="33"/>
      <c r="G80" s="33"/>
      <c r="H80" s="33"/>
      <c r="I80" s="33"/>
      <c r="J80" s="33">
        <f t="shared" si="6"/>
        <v>7500</v>
      </c>
      <c r="K80" s="49">
        <v>0</v>
      </c>
      <c r="L80" s="49">
        <f t="shared" si="7"/>
        <v>7500</v>
      </c>
      <c r="M80" s="53">
        <f t="shared" si="8"/>
        <v>0</v>
      </c>
      <c r="O80" s="58"/>
    </row>
    <row r="81" spans="1:15">
      <c r="A81" s="24">
        <v>254</v>
      </c>
      <c r="B81" s="20" t="s">
        <v>46</v>
      </c>
      <c r="C81" s="33">
        <v>750</v>
      </c>
      <c r="D81" s="33"/>
      <c r="E81" s="33"/>
      <c r="F81" s="33"/>
      <c r="G81" s="33"/>
      <c r="H81" s="33"/>
      <c r="I81" s="33"/>
      <c r="J81" s="33">
        <f t="shared" si="6"/>
        <v>750</v>
      </c>
      <c r="K81" s="49">
        <v>0</v>
      </c>
      <c r="L81" s="49">
        <f t="shared" si="7"/>
        <v>750</v>
      </c>
      <c r="M81" s="53">
        <f t="shared" si="8"/>
        <v>0</v>
      </c>
      <c r="O81" s="58"/>
    </row>
    <row r="82" spans="1:15">
      <c r="A82" s="24">
        <v>262</v>
      </c>
      <c r="B82" s="20" t="s">
        <v>59</v>
      </c>
      <c r="C82" s="33">
        <v>9770</v>
      </c>
      <c r="D82" s="33"/>
      <c r="E82" s="33"/>
      <c r="F82" s="33"/>
      <c r="G82" s="33"/>
      <c r="H82" s="33"/>
      <c r="I82" s="33"/>
      <c r="J82" s="33">
        <f t="shared" si="6"/>
        <v>9770</v>
      </c>
      <c r="K82" s="49">
        <v>2852.96</v>
      </c>
      <c r="L82" s="49">
        <f t="shared" si="7"/>
        <v>6917.04</v>
      </c>
      <c r="M82" s="53">
        <f t="shared" si="8"/>
        <v>2.8905251785040836E-3</v>
      </c>
      <c r="O82" s="58"/>
    </row>
    <row r="83" spans="1:15">
      <c r="A83" s="24">
        <v>266</v>
      </c>
      <c r="B83" s="20" t="s">
        <v>60</v>
      </c>
      <c r="C83" s="33">
        <v>600</v>
      </c>
      <c r="D83" s="33"/>
      <c r="E83" s="33"/>
      <c r="F83" s="33"/>
      <c r="G83" s="33"/>
      <c r="H83" s="33"/>
      <c r="I83" s="33"/>
      <c r="J83" s="33">
        <f t="shared" si="6"/>
        <v>600</v>
      </c>
      <c r="K83" s="49">
        <v>0</v>
      </c>
      <c r="L83" s="49">
        <f t="shared" si="7"/>
        <v>600</v>
      </c>
      <c r="M83" s="53">
        <f t="shared" si="8"/>
        <v>0</v>
      </c>
      <c r="O83" s="58"/>
    </row>
    <row r="84" spans="1:15">
      <c r="A84" s="24">
        <v>267</v>
      </c>
      <c r="B84" s="20" t="s">
        <v>86</v>
      </c>
      <c r="C84" s="33">
        <v>22000</v>
      </c>
      <c r="D84" s="33"/>
      <c r="E84" s="33"/>
      <c r="F84" s="33"/>
      <c r="G84" s="33"/>
      <c r="H84" s="33"/>
      <c r="I84" s="33"/>
      <c r="J84" s="33">
        <f t="shared" si="6"/>
        <v>22000</v>
      </c>
      <c r="K84" s="49">
        <v>5996</v>
      </c>
      <c r="L84" s="49">
        <f t="shared" si="7"/>
        <v>16004</v>
      </c>
      <c r="M84" s="53">
        <f t="shared" si="8"/>
        <v>6.0749498662128051E-3</v>
      </c>
      <c r="O84" s="58"/>
    </row>
    <row r="85" spans="1:15">
      <c r="A85" s="24">
        <v>268</v>
      </c>
      <c r="B85" s="20" t="s">
        <v>61</v>
      </c>
      <c r="C85" s="33">
        <v>794</v>
      </c>
      <c r="D85" s="33"/>
      <c r="E85" s="33"/>
      <c r="F85" s="33"/>
      <c r="G85" s="33"/>
      <c r="H85" s="33"/>
      <c r="I85" s="33"/>
      <c r="J85" s="33">
        <f t="shared" si="6"/>
        <v>794</v>
      </c>
      <c r="K85" s="49">
        <v>681.35</v>
      </c>
      <c r="L85" s="49">
        <f t="shared" si="7"/>
        <v>112.64999999999998</v>
      </c>
      <c r="M85" s="53">
        <f t="shared" si="8"/>
        <v>6.9032139615478577E-4</v>
      </c>
      <c r="O85" s="58"/>
    </row>
    <row r="86" spans="1:15">
      <c r="A86" s="24">
        <v>269</v>
      </c>
      <c r="B86" s="20" t="s">
        <v>62</v>
      </c>
      <c r="C86" s="33">
        <v>500</v>
      </c>
      <c r="D86" s="33"/>
      <c r="E86" s="33"/>
      <c r="F86" s="33"/>
      <c r="G86" s="33"/>
      <c r="H86" s="33"/>
      <c r="I86" s="33"/>
      <c r="J86" s="33">
        <f t="shared" si="6"/>
        <v>500</v>
      </c>
      <c r="K86" s="49">
        <v>450</v>
      </c>
      <c r="L86" s="49">
        <f t="shared" si="7"/>
        <v>50</v>
      </c>
      <c r="M86" s="53">
        <f t="shared" si="8"/>
        <v>4.5592519009268886E-4</v>
      </c>
      <c r="O86" s="58"/>
    </row>
    <row r="87" spans="1:15">
      <c r="A87" s="24">
        <v>271</v>
      </c>
      <c r="B87" s="20" t="s">
        <v>63</v>
      </c>
      <c r="C87" s="33">
        <v>160800</v>
      </c>
      <c r="D87" s="33"/>
      <c r="E87" s="33"/>
      <c r="F87" s="33"/>
      <c r="G87" s="33"/>
      <c r="H87" s="33"/>
      <c r="I87" s="33"/>
      <c r="J87" s="33">
        <f t="shared" si="6"/>
        <v>160800</v>
      </c>
      <c r="K87" s="49">
        <v>0</v>
      </c>
      <c r="L87" s="49">
        <f t="shared" si="7"/>
        <v>160800</v>
      </c>
      <c r="M87" s="53">
        <f t="shared" si="8"/>
        <v>0</v>
      </c>
      <c r="O87" s="58"/>
    </row>
    <row r="88" spans="1:15">
      <c r="A88" s="24">
        <v>283</v>
      </c>
      <c r="B88" s="20" t="s">
        <v>64</v>
      </c>
      <c r="C88" s="33">
        <v>1000</v>
      </c>
      <c r="D88" s="33"/>
      <c r="E88" s="33"/>
      <c r="F88" s="33"/>
      <c r="G88" s="33"/>
      <c r="H88" s="33"/>
      <c r="I88" s="33"/>
      <c r="J88" s="33">
        <f t="shared" si="6"/>
        <v>1000</v>
      </c>
      <c r="K88" s="49">
        <v>9</v>
      </c>
      <c r="L88" s="49">
        <f t="shared" si="7"/>
        <v>991</v>
      </c>
      <c r="M88" s="53">
        <f t="shared" si="8"/>
        <v>9.1185038018537776E-6</v>
      </c>
      <c r="O88" s="58"/>
    </row>
    <row r="89" spans="1:15">
      <c r="A89" s="24">
        <v>284</v>
      </c>
      <c r="B89" s="20" t="s">
        <v>47</v>
      </c>
      <c r="C89" s="33">
        <v>7500</v>
      </c>
      <c r="D89" s="33"/>
      <c r="E89" s="33"/>
      <c r="F89" s="33"/>
      <c r="G89" s="33"/>
      <c r="H89" s="33"/>
      <c r="I89" s="33"/>
      <c r="J89" s="33">
        <f t="shared" si="6"/>
        <v>7500</v>
      </c>
      <c r="K89" s="49">
        <v>0</v>
      </c>
      <c r="L89" s="49">
        <f t="shared" si="7"/>
        <v>7500</v>
      </c>
      <c r="M89" s="53">
        <f t="shared" si="8"/>
        <v>0</v>
      </c>
      <c r="O89" s="58"/>
    </row>
    <row r="90" spans="1:15">
      <c r="A90" s="24">
        <v>285</v>
      </c>
      <c r="B90" s="20" t="s">
        <v>113</v>
      </c>
      <c r="C90" s="33">
        <v>807000</v>
      </c>
      <c r="D90" s="33"/>
      <c r="E90" s="33"/>
      <c r="F90" s="33"/>
      <c r="G90" s="33"/>
      <c r="H90" s="33"/>
      <c r="I90" s="33"/>
      <c r="J90" s="33">
        <f t="shared" si="6"/>
        <v>807000</v>
      </c>
      <c r="K90" s="49">
        <v>0</v>
      </c>
      <c r="L90" s="49">
        <f t="shared" si="7"/>
        <v>807000</v>
      </c>
      <c r="M90" s="53">
        <f t="shared" si="8"/>
        <v>0</v>
      </c>
      <c r="O90" s="58"/>
    </row>
    <row r="91" spans="1:15">
      <c r="A91" s="24">
        <v>291</v>
      </c>
      <c r="B91" s="20" t="s">
        <v>65</v>
      </c>
      <c r="C91" s="33">
        <v>9000</v>
      </c>
      <c r="D91" s="33"/>
      <c r="E91" s="33"/>
      <c r="F91" s="33"/>
      <c r="G91" s="33"/>
      <c r="H91" s="33"/>
      <c r="I91" s="33"/>
      <c r="J91" s="33">
        <f t="shared" si="6"/>
        <v>9000</v>
      </c>
      <c r="K91" s="49">
        <v>778.79</v>
      </c>
      <c r="L91" s="49">
        <f t="shared" si="7"/>
        <v>8221.2099999999991</v>
      </c>
      <c r="M91" s="53">
        <f t="shared" si="8"/>
        <v>7.890443973161892E-4</v>
      </c>
      <c r="O91" s="58"/>
    </row>
    <row r="92" spans="1:15">
      <c r="A92" s="24">
        <v>292</v>
      </c>
      <c r="B92" s="20" t="s">
        <v>66</v>
      </c>
      <c r="C92" s="33">
        <v>1800</v>
      </c>
      <c r="D92" s="33"/>
      <c r="E92" s="33"/>
      <c r="F92" s="33"/>
      <c r="G92" s="33"/>
      <c r="H92" s="33"/>
      <c r="I92" s="33"/>
      <c r="J92" s="33">
        <f t="shared" si="6"/>
        <v>1800</v>
      </c>
      <c r="K92" s="49">
        <v>215.1</v>
      </c>
      <c r="L92" s="49">
        <f t="shared" si="7"/>
        <v>1584.9</v>
      </c>
      <c r="M92" s="53">
        <f t="shared" si="8"/>
        <v>2.1793224086430528E-4</v>
      </c>
      <c r="O92" s="58"/>
    </row>
    <row r="93" spans="1:15">
      <c r="A93" s="24">
        <v>294</v>
      </c>
      <c r="B93" s="20" t="s">
        <v>67</v>
      </c>
      <c r="C93" s="33">
        <v>140250</v>
      </c>
      <c r="D93" s="43"/>
      <c r="E93" s="43"/>
      <c r="F93" s="33"/>
      <c r="G93" s="33"/>
      <c r="H93" s="33"/>
      <c r="I93" s="33"/>
      <c r="J93" s="33">
        <f t="shared" si="6"/>
        <v>140250</v>
      </c>
      <c r="K93" s="49">
        <v>14130</v>
      </c>
      <c r="L93" s="49">
        <f t="shared" si="7"/>
        <v>126120</v>
      </c>
      <c r="M93" s="53">
        <f t="shared" si="8"/>
        <v>1.431605096891043E-2</v>
      </c>
      <c r="O93" s="58"/>
    </row>
    <row r="94" spans="1:15">
      <c r="A94" s="24">
        <v>296</v>
      </c>
      <c r="B94" s="20" t="s">
        <v>101</v>
      </c>
      <c r="C94" s="33">
        <v>500</v>
      </c>
      <c r="D94" s="33"/>
      <c r="E94" s="33"/>
      <c r="F94" s="33"/>
      <c r="G94" s="33"/>
      <c r="H94" s="33"/>
      <c r="I94" s="33"/>
      <c r="J94" s="33">
        <f t="shared" si="6"/>
        <v>500</v>
      </c>
      <c r="K94" s="49">
        <v>0</v>
      </c>
      <c r="L94" s="49">
        <f t="shared" si="7"/>
        <v>500</v>
      </c>
      <c r="M94" s="53">
        <f t="shared" si="8"/>
        <v>0</v>
      </c>
      <c r="O94" s="58"/>
    </row>
    <row r="95" spans="1:15">
      <c r="A95" s="24">
        <v>297</v>
      </c>
      <c r="B95" s="20" t="s">
        <v>68</v>
      </c>
      <c r="C95" s="33">
        <v>1000</v>
      </c>
      <c r="D95" s="33"/>
      <c r="E95" s="33"/>
      <c r="F95" s="33"/>
      <c r="G95" s="33"/>
      <c r="H95" s="33"/>
      <c r="I95" s="33"/>
      <c r="J95" s="33">
        <f t="shared" si="6"/>
        <v>1000</v>
      </c>
      <c r="K95" s="49">
        <v>241.2</v>
      </c>
      <c r="L95" s="49">
        <f t="shared" si="7"/>
        <v>758.8</v>
      </c>
      <c r="M95" s="53">
        <f t="shared" si="8"/>
        <v>2.4437590188968123E-4</v>
      </c>
      <c r="O95" s="58"/>
    </row>
    <row r="96" spans="1:15">
      <c r="A96" s="24">
        <v>298</v>
      </c>
      <c r="B96" s="20" t="s">
        <v>25</v>
      </c>
      <c r="C96" s="33">
        <v>85460</v>
      </c>
      <c r="D96" s="43"/>
      <c r="E96" s="43"/>
      <c r="F96" s="33"/>
      <c r="G96" s="33"/>
      <c r="H96" s="33"/>
      <c r="I96" s="33"/>
      <c r="J96" s="33">
        <f t="shared" si="6"/>
        <v>85460</v>
      </c>
      <c r="K96" s="49">
        <v>3468.19</v>
      </c>
      <c r="L96" s="49">
        <f t="shared" si="7"/>
        <v>81991.81</v>
      </c>
      <c r="M96" s="53">
        <f t="shared" si="8"/>
        <v>3.5138559667279171E-3</v>
      </c>
      <c r="O96" s="58"/>
    </row>
    <row r="97" spans="1:15">
      <c r="A97" s="24">
        <v>299</v>
      </c>
      <c r="B97" s="20" t="s">
        <v>69</v>
      </c>
      <c r="C97" s="33">
        <v>12000</v>
      </c>
      <c r="D97" s="43"/>
      <c r="E97" s="43"/>
      <c r="F97" s="33"/>
      <c r="G97" s="33"/>
      <c r="H97" s="33"/>
      <c r="I97" s="33"/>
      <c r="J97" s="33">
        <f t="shared" si="6"/>
        <v>12000</v>
      </c>
      <c r="K97" s="49">
        <v>756.95</v>
      </c>
      <c r="L97" s="49">
        <f t="shared" si="7"/>
        <v>11243.05</v>
      </c>
      <c r="M97" s="53">
        <f t="shared" si="8"/>
        <v>7.6691682809035744E-4</v>
      </c>
      <c r="O97" s="58"/>
    </row>
    <row r="98" spans="1:15">
      <c r="A98" s="24"/>
      <c r="B98" s="20"/>
      <c r="C98" s="33"/>
      <c r="D98" s="43"/>
      <c r="E98" s="43"/>
      <c r="F98" s="33"/>
      <c r="G98" s="33"/>
      <c r="H98" s="33"/>
      <c r="I98" s="33"/>
      <c r="J98" s="33"/>
      <c r="K98" s="81"/>
      <c r="L98" s="49"/>
      <c r="M98" s="53"/>
      <c r="O98" s="58"/>
    </row>
    <row r="99" spans="1:15">
      <c r="A99" s="23">
        <v>3</v>
      </c>
      <c r="B99" s="23" t="s">
        <v>129</v>
      </c>
      <c r="C99" s="33"/>
      <c r="D99" s="33"/>
      <c r="E99" s="33"/>
      <c r="F99" s="33"/>
      <c r="G99" s="33"/>
      <c r="H99" s="33"/>
      <c r="I99" s="33"/>
      <c r="J99" s="33"/>
      <c r="K99" s="83"/>
      <c r="L99" s="49"/>
      <c r="M99" s="53"/>
      <c r="O99" s="58"/>
    </row>
    <row r="100" spans="1:15">
      <c r="A100" s="24">
        <v>322</v>
      </c>
      <c r="B100" s="20" t="s">
        <v>83</v>
      </c>
      <c r="C100" s="33">
        <v>18000</v>
      </c>
      <c r="D100" s="33"/>
      <c r="E100" s="33"/>
      <c r="F100" s="33"/>
      <c r="G100" s="33"/>
      <c r="H100" s="33"/>
      <c r="I100" s="33"/>
      <c r="J100" s="33">
        <f t="shared" ref="J100:J105" si="9">C100+D100-E100+F100-G100+H100-I100</f>
        <v>18000</v>
      </c>
      <c r="K100" s="49">
        <v>0</v>
      </c>
      <c r="L100" s="49">
        <f t="shared" ref="L100:L105" si="10">J100-K100</f>
        <v>18000</v>
      </c>
      <c r="M100" s="53">
        <f t="shared" ref="M100:M105" si="11">K100/$K$114</f>
        <v>0</v>
      </c>
      <c r="O100" s="58"/>
    </row>
    <row r="101" spans="1:15" hidden="1">
      <c r="A101" s="120">
        <v>323</v>
      </c>
      <c r="B101" s="20" t="s">
        <v>119</v>
      </c>
      <c r="C101" s="33">
        <v>0</v>
      </c>
      <c r="D101" s="33"/>
      <c r="E101" s="33"/>
      <c r="F101" s="33"/>
      <c r="G101" s="33"/>
      <c r="H101" s="33"/>
      <c r="I101" s="33"/>
      <c r="J101" s="33">
        <f t="shared" si="9"/>
        <v>0</v>
      </c>
      <c r="K101" s="49"/>
      <c r="L101" s="49">
        <f t="shared" si="10"/>
        <v>0</v>
      </c>
      <c r="M101" s="53">
        <f t="shared" si="11"/>
        <v>0</v>
      </c>
    </row>
    <row r="102" spans="1:15">
      <c r="A102" s="24">
        <v>324</v>
      </c>
      <c r="B102" s="20" t="s">
        <v>120</v>
      </c>
      <c r="C102" s="33">
        <v>2147922.54</v>
      </c>
      <c r="D102" s="33"/>
      <c r="E102" s="33"/>
      <c r="F102" s="33"/>
      <c r="G102" s="33"/>
      <c r="H102" s="33"/>
      <c r="I102" s="33"/>
      <c r="J102" s="33">
        <f t="shared" si="9"/>
        <v>2147922.54</v>
      </c>
      <c r="K102" s="49">
        <v>0</v>
      </c>
      <c r="L102" s="49">
        <f t="shared" si="10"/>
        <v>2147922.54</v>
      </c>
      <c r="M102" s="53">
        <f t="shared" si="11"/>
        <v>0</v>
      </c>
    </row>
    <row r="103" spans="1:15">
      <c r="A103" s="24">
        <v>328</v>
      </c>
      <c r="B103" s="20" t="s">
        <v>84</v>
      </c>
      <c r="C103" s="33">
        <v>7500</v>
      </c>
      <c r="D103" s="33"/>
      <c r="E103" s="33"/>
      <c r="F103" s="33"/>
      <c r="G103" s="33"/>
      <c r="H103" s="33"/>
      <c r="I103" s="33"/>
      <c r="J103" s="33">
        <f t="shared" si="9"/>
        <v>7500</v>
      </c>
      <c r="K103" s="49">
        <v>0</v>
      </c>
      <c r="L103" s="49">
        <f t="shared" si="10"/>
        <v>7500</v>
      </c>
      <c r="M103" s="53">
        <f t="shared" si="11"/>
        <v>0</v>
      </c>
    </row>
    <row r="104" spans="1:15">
      <c r="A104" s="24">
        <v>329</v>
      </c>
      <c r="B104" s="20" t="s">
        <v>85</v>
      </c>
      <c r="C104" s="33">
        <v>10500</v>
      </c>
      <c r="D104" s="33"/>
      <c r="E104" s="33"/>
      <c r="F104" s="33"/>
      <c r="G104" s="33"/>
      <c r="H104" s="33"/>
      <c r="I104" s="33"/>
      <c r="J104" s="33">
        <f t="shared" si="9"/>
        <v>10500</v>
      </c>
      <c r="K104" s="49">
        <v>0</v>
      </c>
      <c r="L104" s="49">
        <f t="shared" si="10"/>
        <v>10500</v>
      </c>
      <c r="M104" s="53">
        <f t="shared" si="11"/>
        <v>0</v>
      </c>
    </row>
    <row r="105" spans="1:15">
      <c r="A105" s="24">
        <v>332</v>
      </c>
      <c r="B105" s="20" t="s">
        <v>140</v>
      </c>
      <c r="C105" s="33">
        <v>2388358.86</v>
      </c>
      <c r="D105" s="33"/>
      <c r="E105" s="33"/>
      <c r="F105" s="33"/>
      <c r="G105" s="33"/>
      <c r="H105" s="33"/>
      <c r="I105" s="33"/>
      <c r="J105" s="33">
        <f t="shared" si="9"/>
        <v>2388358.86</v>
      </c>
      <c r="K105" s="49">
        <v>0</v>
      </c>
      <c r="L105" s="49">
        <f t="shared" si="10"/>
        <v>2388358.86</v>
      </c>
      <c r="M105" s="53">
        <f t="shared" si="11"/>
        <v>0</v>
      </c>
    </row>
    <row r="106" spans="1:15">
      <c r="A106" s="24"/>
      <c r="B106" s="20"/>
      <c r="C106" s="33"/>
      <c r="D106" s="33"/>
      <c r="E106" s="33"/>
      <c r="F106" s="33"/>
      <c r="G106" s="33"/>
      <c r="H106" s="33"/>
      <c r="I106" s="33"/>
      <c r="J106" s="33"/>
      <c r="K106" s="81"/>
      <c r="L106" s="49"/>
      <c r="M106" s="53"/>
      <c r="O106" s="12"/>
    </row>
    <row r="107" spans="1:15">
      <c r="A107" s="23">
        <v>4</v>
      </c>
      <c r="B107" s="23" t="s">
        <v>12</v>
      </c>
      <c r="C107" s="33"/>
      <c r="D107" s="33"/>
      <c r="E107" s="33"/>
      <c r="F107" s="33"/>
      <c r="G107" s="33"/>
      <c r="H107" s="33"/>
      <c r="I107" s="33"/>
      <c r="J107" s="33"/>
      <c r="K107" s="81"/>
      <c r="L107" s="49"/>
      <c r="M107" s="53"/>
      <c r="O107" s="12"/>
    </row>
    <row r="108" spans="1:15">
      <c r="A108" s="25">
        <v>413</v>
      </c>
      <c r="B108" s="26" t="s">
        <v>72</v>
      </c>
      <c r="C108" s="33">
        <v>20750</v>
      </c>
      <c r="D108" s="33"/>
      <c r="E108" s="33"/>
      <c r="F108" s="33"/>
      <c r="G108" s="33"/>
      <c r="H108" s="33"/>
      <c r="I108" s="33"/>
      <c r="J108" s="33">
        <f t="shared" ref="J108:J112" si="12">C108+D108-E108+F108-G108+H108-I108</f>
        <v>20750</v>
      </c>
      <c r="K108" s="49">
        <v>0</v>
      </c>
      <c r="L108" s="49">
        <f t="shared" ref="L108:L112" si="13">J108-K108</f>
        <v>20750</v>
      </c>
      <c r="M108" s="53">
        <f>K108/$K$114</f>
        <v>0</v>
      </c>
      <c r="O108" s="12"/>
    </row>
    <row r="109" spans="1:15">
      <c r="A109" s="25">
        <v>415</v>
      </c>
      <c r="B109" s="26" t="s">
        <v>73</v>
      </c>
      <c r="C109" s="33">
        <v>7600</v>
      </c>
      <c r="D109" s="33"/>
      <c r="E109" s="33"/>
      <c r="F109" s="33"/>
      <c r="G109" s="33"/>
      <c r="H109" s="33"/>
      <c r="I109" s="33"/>
      <c r="J109" s="33">
        <f t="shared" si="12"/>
        <v>7600</v>
      </c>
      <c r="K109" s="49">
        <v>0</v>
      </c>
      <c r="L109" s="49">
        <f t="shared" si="13"/>
        <v>7600</v>
      </c>
      <c r="M109" s="53">
        <f>K109/$K$114</f>
        <v>0</v>
      </c>
      <c r="O109" s="12"/>
    </row>
    <row r="110" spans="1:15">
      <c r="A110" s="25">
        <v>419</v>
      </c>
      <c r="B110" s="26" t="s">
        <v>74</v>
      </c>
      <c r="C110" s="33">
        <v>19200</v>
      </c>
      <c r="D110" s="33"/>
      <c r="E110" s="33"/>
      <c r="F110" s="33"/>
      <c r="G110" s="33"/>
      <c r="H110" s="33"/>
      <c r="I110" s="33"/>
      <c r="J110" s="33">
        <f t="shared" si="12"/>
        <v>19200</v>
      </c>
      <c r="K110" s="49">
        <v>3000</v>
      </c>
      <c r="L110" s="49">
        <f t="shared" si="13"/>
        <v>16200</v>
      </c>
      <c r="M110" s="53">
        <f>K110/$K$114</f>
        <v>3.0395012672845925E-3</v>
      </c>
      <c r="O110" s="12"/>
    </row>
    <row r="111" spans="1:15">
      <c r="A111" s="25">
        <v>453</v>
      </c>
      <c r="B111" s="26" t="s">
        <v>75</v>
      </c>
      <c r="C111" s="33">
        <v>255000</v>
      </c>
      <c r="D111" s="33"/>
      <c r="E111" s="33"/>
      <c r="F111" s="33"/>
      <c r="G111" s="33"/>
      <c r="H111" s="33"/>
      <c r="I111" s="33"/>
      <c r="J111" s="33">
        <f t="shared" si="12"/>
        <v>255000</v>
      </c>
      <c r="K111" s="49">
        <v>30000</v>
      </c>
      <c r="L111" s="49">
        <f t="shared" si="13"/>
        <v>225000</v>
      </c>
      <c r="M111" s="53">
        <f>K111/$K$114</f>
        <v>3.0395012672845924E-2</v>
      </c>
      <c r="O111" s="12"/>
    </row>
    <row r="112" spans="1:15">
      <c r="A112" s="25">
        <v>472</v>
      </c>
      <c r="B112" s="26" t="s">
        <v>105</v>
      </c>
      <c r="C112" s="33">
        <v>8200</v>
      </c>
      <c r="D112" s="33"/>
      <c r="E112" s="33"/>
      <c r="F112" s="33"/>
      <c r="G112" s="33"/>
      <c r="H112" s="33"/>
      <c r="I112" s="33"/>
      <c r="J112" s="33">
        <f t="shared" si="12"/>
        <v>8200</v>
      </c>
      <c r="K112" s="49">
        <v>768.34</v>
      </c>
      <c r="L112" s="49">
        <f t="shared" si="13"/>
        <v>7431.66</v>
      </c>
      <c r="M112" s="53">
        <f>K112/$K$114</f>
        <v>7.7845680123514796E-4</v>
      </c>
      <c r="O112" s="12"/>
    </row>
    <row r="113" spans="1:15" ht="20.25" customHeight="1" thickBot="1">
      <c r="A113" s="22"/>
      <c r="B113" s="64"/>
      <c r="C113" s="18"/>
      <c r="D113" s="33"/>
      <c r="E113" s="33"/>
      <c r="F113" s="44"/>
      <c r="G113" s="44"/>
      <c r="H113" s="44"/>
      <c r="I113" s="44"/>
      <c r="J113" s="18"/>
      <c r="K113" s="84"/>
      <c r="L113" s="50"/>
      <c r="M113" s="53"/>
      <c r="O113" s="12"/>
    </row>
    <row r="114" spans="1:15" ht="20.25" customHeight="1" thickBot="1">
      <c r="A114" s="65"/>
      <c r="B114" s="8" t="s">
        <v>7</v>
      </c>
      <c r="C114" s="94">
        <f>SUM(C21:C113)</f>
        <v>10577202.25</v>
      </c>
      <c r="D114" s="94">
        <f>SUM(D21:D113)</f>
        <v>0</v>
      </c>
      <c r="E114" s="94">
        <f>SUM(E21:E113)</f>
        <v>0</v>
      </c>
      <c r="F114" s="94">
        <f t="shared" ref="F114:L114" si="14">SUM(F21:F113)</f>
        <v>0</v>
      </c>
      <c r="G114" s="94">
        <f t="shared" si="14"/>
        <v>0</v>
      </c>
      <c r="H114" s="94">
        <f t="shared" si="14"/>
        <v>0</v>
      </c>
      <c r="I114" s="94">
        <f t="shared" si="14"/>
        <v>0</v>
      </c>
      <c r="J114" s="94">
        <f t="shared" si="14"/>
        <v>10577202.25</v>
      </c>
      <c r="K114" s="97">
        <f>ROUND((SUM(K21:K113)),2)</f>
        <v>987004.03</v>
      </c>
      <c r="L114" s="94">
        <f t="shared" si="14"/>
        <v>9590198.2199999988</v>
      </c>
      <c r="M114" s="98">
        <f>K114/K114</f>
        <v>1</v>
      </c>
      <c r="O114" s="12"/>
    </row>
    <row r="115" spans="1:15" ht="20.25" customHeight="1">
      <c r="A115" s="66"/>
      <c r="B115" s="13"/>
      <c r="C115" s="14"/>
      <c r="D115" s="14"/>
      <c r="E115" s="14"/>
      <c r="F115" s="14"/>
      <c r="G115" s="27"/>
      <c r="H115" s="27"/>
      <c r="I115" s="14"/>
      <c r="J115" s="14"/>
      <c r="K115" s="85"/>
      <c r="L115" s="14"/>
      <c r="M115" s="15"/>
      <c r="O115" s="12"/>
    </row>
    <row r="116" spans="1:15" ht="20.25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85"/>
      <c r="L116" s="14"/>
      <c r="M116" s="15"/>
      <c r="O116" s="12"/>
    </row>
    <row r="117" spans="1:15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16"/>
      <c r="K117" s="86"/>
      <c r="L117" s="10"/>
      <c r="M117" s="11"/>
    </row>
    <row r="118" spans="1:15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16"/>
      <c r="K118" s="86"/>
      <c r="L118" s="10"/>
      <c r="M118" s="11"/>
    </row>
    <row r="119" spans="1:15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16"/>
      <c r="K119" s="86"/>
      <c r="L119" s="10"/>
      <c r="M119" s="11"/>
      <c r="O119" s="3"/>
    </row>
    <row r="120" spans="1:15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16"/>
      <c r="K120" s="86"/>
      <c r="L120" s="10"/>
      <c r="M120" s="11"/>
    </row>
    <row r="121" spans="1:15" s="12" customFormat="1">
      <c r="A121" s="105" t="s">
        <v>108</v>
      </c>
      <c r="B121" s="35"/>
      <c r="C121" s="101"/>
      <c r="D121" s="9"/>
      <c r="E121" s="9"/>
      <c r="G121" s="41"/>
      <c r="H121" s="41"/>
      <c r="I121" s="41"/>
      <c r="J121" s="16"/>
      <c r="K121" s="86"/>
      <c r="L121" s="10"/>
      <c r="M121" s="11"/>
    </row>
    <row r="122" spans="1:15" s="12" customFormat="1">
      <c r="A122" s="106" t="s">
        <v>136</v>
      </c>
      <c r="B122" s="36"/>
      <c r="C122" s="101">
        <v>656637.59</v>
      </c>
      <c r="D122" s="9"/>
      <c r="E122" s="67"/>
      <c r="G122" s="41"/>
      <c r="H122" s="41"/>
      <c r="I122" s="41"/>
      <c r="J122" s="16"/>
      <c r="K122" s="86"/>
      <c r="L122" s="10"/>
      <c r="M122" s="11"/>
      <c r="O122" s="3"/>
    </row>
    <row r="123" spans="1:15" s="12" customFormat="1">
      <c r="A123" s="106" t="s">
        <v>76</v>
      </c>
      <c r="B123" s="36"/>
      <c r="C123" s="101">
        <f>K18</f>
        <v>1285099.32</v>
      </c>
      <c r="D123" s="9"/>
      <c r="E123" s="67"/>
      <c r="G123" s="41"/>
      <c r="H123" s="41"/>
      <c r="I123" s="77"/>
      <c r="J123" s="16"/>
      <c r="K123" s="86"/>
      <c r="L123" s="10"/>
      <c r="M123" s="11"/>
      <c r="O123" s="3"/>
    </row>
    <row r="124" spans="1:15" s="12" customFormat="1">
      <c r="A124" s="106" t="s">
        <v>87</v>
      </c>
      <c r="B124" s="36"/>
      <c r="C124" s="122">
        <f>-K114</f>
        <v>-987004.03</v>
      </c>
      <c r="D124" s="9"/>
      <c r="E124" s="67"/>
      <c r="G124" s="41"/>
      <c r="H124" s="41"/>
      <c r="I124" s="41"/>
      <c r="J124" s="16"/>
      <c r="K124" s="86"/>
      <c r="L124" s="10"/>
      <c r="M124" s="11"/>
      <c r="O124" s="3"/>
    </row>
    <row r="125" spans="1:15" s="12" customFormat="1" ht="18" customHeight="1">
      <c r="A125" s="107" t="s">
        <v>107</v>
      </c>
      <c r="B125" s="36"/>
      <c r="C125" s="119">
        <f>SUM(C122:C124)</f>
        <v>954732.88000000012</v>
      </c>
      <c r="D125" s="68"/>
      <c r="E125" s="67"/>
      <c r="G125" s="41"/>
      <c r="H125" s="41"/>
      <c r="I125" s="41"/>
      <c r="J125" s="16"/>
      <c r="K125" s="86"/>
      <c r="L125" s="10"/>
      <c r="M125" s="11"/>
      <c r="O125" s="3"/>
    </row>
    <row r="126" spans="1:15" s="12" customFormat="1" ht="5.0999999999999996" customHeight="1">
      <c r="A126" s="106"/>
      <c r="B126" s="36"/>
      <c r="C126" s="101"/>
      <c r="D126" s="9"/>
      <c r="E126" s="9"/>
      <c r="G126" s="48"/>
      <c r="H126" s="48"/>
      <c r="I126" s="41"/>
      <c r="J126" s="16"/>
      <c r="K126" s="86"/>
      <c r="L126" s="10"/>
      <c r="M126" s="11"/>
      <c r="O126" s="3"/>
    </row>
    <row r="127" spans="1:15" s="12" customFormat="1" ht="5.0999999999999996" customHeight="1">
      <c r="A127" s="106"/>
      <c r="B127" s="36"/>
      <c r="C127" s="101"/>
      <c r="D127" s="9"/>
      <c r="E127" s="9"/>
      <c r="G127" s="41"/>
      <c r="H127" s="41"/>
      <c r="I127" s="41"/>
      <c r="J127" s="16"/>
      <c r="K127" s="86"/>
      <c r="L127" s="10"/>
      <c r="M127" s="11"/>
      <c r="O127" s="3"/>
    </row>
    <row r="128" spans="1:15" s="12" customFormat="1" ht="6.95" customHeight="1">
      <c r="A128" s="106"/>
      <c r="B128" s="36"/>
      <c r="C128" s="101"/>
      <c r="D128" s="9"/>
      <c r="E128" s="9"/>
      <c r="G128" s="41"/>
      <c r="H128" s="41"/>
      <c r="I128" s="41"/>
      <c r="J128" s="16"/>
      <c r="K128" s="86"/>
      <c r="L128" s="10"/>
      <c r="M128" s="11"/>
      <c r="O128" s="3"/>
    </row>
    <row r="129" spans="1:15" s="12" customFormat="1">
      <c r="A129" s="107" t="s">
        <v>156</v>
      </c>
      <c r="B129" s="39"/>
      <c r="C129" s="101">
        <f>C125+C126</f>
        <v>954732.88000000012</v>
      </c>
      <c r="D129" s="69"/>
      <c r="G129" s="41"/>
      <c r="H129" s="41"/>
      <c r="I129" s="41"/>
      <c r="J129" s="16"/>
      <c r="K129" s="86"/>
      <c r="L129" s="10"/>
      <c r="M129" s="11"/>
      <c r="O129" s="3"/>
    </row>
    <row r="130" spans="1:15" s="12" customFormat="1" ht="6.95" customHeight="1" thickBot="1">
      <c r="A130" s="108"/>
      <c r="B130" s="38"/>
      <c r="C130" s="104"/>
      <c r="D130" s="69"/>
      <c r="G130" s="41"/>
      <c r="H130" s="41"/>
      <c r="I130" s="41"/>
      <c r="J130" s="16"/>
      <c r="K130" s="86"/>
      <c r="L130" s="10"/>
      <c r="M130" s="11"/>
      <c r="O130" s="3"/>
    </row>
    <row r="131" spans="1:15">
      <c r="A131" s="17"/>
      <c r="C131" s="45"/>
      <c r="D131" s="69"/>
      <c r="G131" s="45"/>
      <c r="H131" s="45"/>
      <c r="I131" s="45"/>
      <c r="J131" s="45"/>
      <c r="L131" s="45"/>
      <c r="M131" s="45"/>
    </row>
    <row r="132" spans="1:15">
      <c r="A132" s="17"/>
      <c r="B132" s="17"/>
      <c r="C132" s="45"/>
      <c r="D132" s="69"/>
      <c r="G132" s="45"/>
      <c r="H132" s="45"/>
      <c r="I132" s="45"/>
      <c r="J132" s="45"/>
      <c r="L132" s="45"/>
      <c r="M132" s="45"/>
    </row>
    <row r="133" spans="1:15">
      <c r="A133" s="13"/>
      <c r="B133" s="70" t="s">
        <v>153</v>
      </c>
      <c r="C133" s="45"/>
      <c r="D133" s="69"/>
      <c r="E133" s="40"/>
      <c r="G133" s="45"/>
      <c r="H133" s="45"/>
      <c r="J133" s="45"/>
      <c r="L133" s="45"/>
      <c r="M133" s="45"/>
    </row>
    <row r="134" spans="1:15">
      <c r="A134" s="13"/>
      <c r="B134" s="17"/>
      <c r="C134" s="45"/>
      <c r="D134" s="69"/>
      <c r="E134" s="45"/>
      <c r="F134" s="45"/>
      <c r="G134" s="45"/>
      <c r="H134" s="45"/>
      <c r="I134" s="45"/>
      <c r="J134" s="45"/>
      <c r="L134" s="45"/>
      <c r="M134" s="45"/>
    </row>
    <row r="135" spans="1:15">
      <c r="A135" s="13"/>
      <c r="B135" s="17"/>
      <c r="C135" s="45"/>
      <c r="D135" s="69"/>
      <c r="E135" s="45"/>
      <c r="F135" s="45"/>
      <c r="G135" s="45"/>
      <c r="H135" s="45"/>
      <c r="I135" s="45"/>
      <c r="J135" s="45"/>
      <c r="L135" s="45"/>
      <c r="M135" s="45"/>
    </row>
    <row r="136" spans="1:15">
      <c r="A136" s="13"/>
      <c r="B136" s="17"/>
      <c r="C136" s="45"/>
      <c r="D136" s="69"/>
      <c r="E136" s="45"/>
      <c r="F136" s="45"/>
      <c r="G136" s="45"/>
      <c r="H136" s="45"/>
      <c r="I136" s="45"/>
      <c r="J136" s="45"/>
      <c r="L136" s="45"/>
      <c r="M136" s="45"/>
    </row>
    <row r="137" spans="1:15">
      <c r="A137" s="13"/>
      <c r="B137" s="17"/>
      <c r="C137" s="45"/>
      <c r="E137" s="45"/>
      <c r="F137" s="45"/>
      <c r="G137" s="45"/>
      <c r="H137" s="45"/>
      <c r="I137" s="45"/>
      <c r="J137" s="45"/>
      <c r="L137" s="45"/>
      <c r="M137" s="45"/>
    </row>
    <row r="138" spans="1:15">
      <c r="A138" s="66"/>
      <c r="B138" s="17"/>
      <c r="C138" s="45"/>
      <c r="D138" s="16"/>
      <c r="E138" s="40"/>
      <c r="F138" s="40"/>
      <c r="G138" s="45"/>
      <c r="H138" s="45"/>
      <c r="I138" s="45"/>
      <c r="J138" s="45"/>
      <c r="L138" s="45"/>
      <c r="M138" s="45"/>
    </row>
    <row r="139" spans="1:15">
      <c r="A139" s="66"/>
      <c r="B139" s="45"/>
      <c r="C139" s="45"/>
      <c r="D139" s="45"/>
      <c r="E139" s="40"/>
      <c r="F139" s="40"/>
      <c r="G139" s="45"/>
      <c r="H139" s="45"/>
      <c r="I139" s="45"/>
      <c r="J139" s="45"/>
      <c r="L139" s="45"/>
      <c r="M139" s="45"/>
    </row>
    <row r="140" spans="1:15" ht="18.75">
      <c r="A140" s="66"/>
      <c r="B140" s="46" t="s">
        <v>124</v>
      </c>
      <c r="D140" s="112" t="s">
        <v>138</v>
      </c>
      <c r="E140" s="46"/>
      <c r="F140" s="46"/>
      <c r="I140" s="113" t="s">
        <v>127</v>
      </c>
      <c r="K140" s="88"/>
      <c r="L140" s="51"/>
      <c r="M140" s="46"/>
    </row>
    <row r="141" spans="1:15" s="115" customFormat="1" ht="15.75">
      <c r="A141" s="114"/>
      <c r="B141" s="56" t="s">
        <v>125</v>
      </c>
      <c r="D141" s="116" t="s">
        <v>126</v>
      </c>
      <c r="E141" s="56"/>
      <c r="F141" s="56"/>
      <c r="I141" s="117" t="s">
        <v>123</v>
      </c>
      <c r="K141" s="118"/>
      <c r="L141" s="56"/>
      <c r="M141" s="56"/>
    </row>
    <row r="142" spans="1:15" ht="18.75">
      <c r="A142" s="66"/>
      <c r="B142" s="47"/>
      <c r="C142" s="71"/>
      <c r="D142" s="51"/>
      <c r="E142" s="47"/>
      <c r="F142" s="47"/>
      <c r="G142" s="47"/>
      <c r="H142" s="47"/>
      <c r="I142" s="51"/>
      <c r="J142" s="71"/>
      <c r="K142" s="88"/>
      <c r="L142" s="47"/>
      <c r="M142" s="47"/>
    </row>
    <row r="143" spans="1:15" ht="18.75">
      <c r="A143" s="66"/>
      <c r="B143" s="47"/>
      <c r="C143" s="47"/>
      <c r="D143" s="47"/>
      <c r="F143" s="47"/>
      <c r="G143" s="47"/>
      <c r="H143" s="47"/>
      <c r="I143" s="112"/>
      <c r="J143" s="47"/>
      <c r="K143" s="88"/>
      <c r="M143" s="47"/>
    </row>
  </sheetData>
  <mergeCells count="3">
    <mergeCell ref="A6:A7"/>
    <mergeCell ref="B6:B7"/>
    <mergeCell ref="K6:K7"/>
  </mergeCells>
  <printOptions horizontalCentered="1"/>
  <pageMargins left="0" right="0" top="0.78740157480314965" bottom="0.86614173228346458" header="0.31496062992125984" footer="0.31496062992125984"/>
  <pageSetup scale="5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showGridLines="0" zoomScale="75" zoomScaleNormal="75" workbookViewId="0">
      <selection activeCell="C11" sqref="C11"/>
    </sheetView>
  </sheetViews>
  <sheetFormatPr baseColWidth="10" defaultColWidth="11.42578125" defaultRowHeight="18"/>
  <cols>
    <col min="1" max="1" width="10.7109375" style="3" customWidth="1"/>
    <col min="2" max="2" width="64.7109375" style="3" customWidth="1"/>
    <col min="3" max="3" width="19.28515625" style="3" customWidth="1"/>
    <col min="4" max="9" width="16.42578125" style="3" customWidth="1"/>
    <col min="10" max="10" width="19.28515625" style="3" customWidth="1"/>
    <col min="11" max="11" width="19.28515625" style="87" customWidth="1"/>
    <col min="12" max="12" width="19.28515625" style="3" customWidth="1"/>
    <col min="13" max="13" width="12.7109375" style="3" customWidth="1"/>
    <col min="14" max="14" width="7" style="3" customWidth="1"/>
    <col min="15" max="15" width="19.5703125" style="3" bestFit="1" customWidth="1"/>
    <col min="16" max="16" width="15.42578125" style="3" bestFit="1" customWidth="1"/>
    <col min="17" max="16384" width="11.42578125" style="3"/>
  </cols>
  <sheetData>
    <row r="1" spans="1:1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80"/>
      <c r="L1" s="42"/>
      <c r="M1" s="42"/>
    </row>
    <row r="2" spans="1:1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80"/>
      <c r="L2" s="42"/>
      <c r="M2" s="42"/>
    </row>
    <row r="3" spans="1:15">
      <c r="A3" s="42" t="s">
        <v>154</v>
      </c>
      <c r="B3" s="42"/>
      <c r="C3" s="42"/>
      <c r="D3" s="42"/>
      <c r="E3" s="42"/>
      <c r="F3" s="42"/>
      <c r="G3" s="42"/>
      <c r="H3" s="42"/>
      <c r="I3" s="42"/>
      <c r="J3" s="42"/>
      <c r="K3" s="80"/>
      <c r="L3" s="42"/>
      <c r="M3" s="42"/>
    </row>
    <row r="4" spans="1:15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80"/>
      <c r="L4" s="42"/>
      <c r="M4" s="42"/>
    </row>
    <row r="5" spans="1:15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80"/>
      <c r="L5" s="42"/>
      <c r="M5" s="42"/>
    </row>
    <row r="6" spans="1:15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1" t="s">
        <v>1</v>
      </c>
      <c r="K6" s="188" t="s">
        <v>2</v>
      </c>
      <c r="L6" s="2" t="s">
        <v>27</v>
      </c>
      <c r="M6" s="1" t="s">
        <v>29</v>
      </c>
    </row>
    <row r="7" spans="1:15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4" t="s">
        <v>4</v>
      </c>
      <c r="K7" s="189"/>
      <c r="L7" s="6" t="s">
        <v>28</v>
      </c>
      <c r="M7" s="7" t="s">
        <v>30</v>
      </c>
    </row>
    <row r="8" spans="1:15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81"/>
      <c r="L8" s="74"/>
      <c r="M8" s="43"/>
    </row>
    <row r="9" spans="1:15">
      <c r="A9" s="78"/>
      <c r="B9" s="79"/>
      <c r="C9" s="43"/>
      <c r="D9" s="43"/>
      <c r="E9" s="43"/>
      <c r="F9" s="43"/>
      <c r="G9" s="43"/>
      <c r="H9" s="43"/>
      <c r="I9" s="43"/>
      <c r="J9" s="43"/>
      <c r="K9" s="81"/>
      <c r="L9" s="74"/>
      <c r="M9" s="43"/>
    </row>
    <row r="10" spans="1:15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33">
        <f t="shared" ref="J10:J17" si="0">C10+D10-E10+F10-G10+H10-I10</f>
        <v>656637.59</v>
      </c>
      <c r="K10" s="49">
        <v>0</v>
      </c>
      <c r="L10" s="74">
        <f t="shared" ref="L10:L15" si="1">J10-K10+I10</f>
        <v>656637.59</v>
      </c>
      <c r="M10" s="57">
        <f>K10/K18</f>
        <v>0</v>
      </c>
    </row>
    <row r="11" spans="1:15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33">
        <f t="shared" si="0"/>
        <v>90000</v>
      </c>
      <c r="K11" s="49">
        <f>6885+7250+5010+5735+2005+6610+400+7470</f>
        <v>41365</v>
      </c>
      <c r="L11" s="72">
        <f t="shared" si="1"/>
        <v>48635</v>
      </c>
      <c r="M11" s="57">
        <f>K11/K18</f>
        <v>1.8734754290810157E-2</v>
      </c>
    </row>
    <row r="12" spans="1:15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33">
        <f t="shared" si="0"/>
        <v>4000</v>
      </c>
      <c r="K12" s="49">
        <f>154.29+74.21+47.84+63.83</f>
        <v>340.17</v>
      </c>
      <c r="L12" s="72">
        <f t="shared" si="1"/>
        <v>3659.83</v>
      </c>
      <c r="M12" s="57">
        <f>K12/K18</f>
        <v>1.5406748137567728E-4</v>
      </c>
    </row>
    <row r="13" spans="1:15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33">
        <f t="shared" si="0"/>
        <v>2345924.88</v>
      </c>
      <c r="K13" s="49">
        <f>195493.74+40518.88+404398.5+199964.08</f>
        <v>840375.2</v>
      </c>
      <c r="L13" s="72">
        <f t="shared" si="1"/>
        <v>1505549.68</v>
      </c>
      <c r="M13" s="57">
        <f>K13/K18</f>
        <v>0.38061701641702989</v>
      </c>
      <c r="O13" s="58"/>
    </row>
    <row r="14" spans="1:15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33">
        <f t="shared" si="0"/>
        <v>4496358.8600000003</v>
      </c>
      <c r="K14" s="49">
        <v>0</v>
      </c>
      <c r="L14" s="72">
        <f t="shared" si="1"/>
        <v>4496358.8600000003</v>
      </c>
      <c r="M14" s="57">
        <f>K14/K18</f>
        <v>0</v>
      </c>
      <c r="O14" s="58"/>
    </row>
    <row r="15" spans="1:15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33">
        <f t="shared" si="0"/>
        <v>2969280.92</v>
      </c>
      <c r="K15" s="49">
        <f>174488.09+436428.77+714931.38</f>
        <v>1325848.24</v>
      </c>
      <c r="L15" s="74">
        <f t="shared" si="1"/>
        <v>1643432.68</v>
      </c>
      <c r="M15" s="57">
        <v>0</v>
      </c>
      <c r="O15" s="58"/>
    </row>
    <row r="16" spans="1:15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33">
        <f>C16+D16-E16+F16-G16+H16-I16</f>
        <v>15000</v>
      </c>
      <c r="K16" s="49">
        <v>0</v>
      </c>
      <c r="L16" s="74">
        <f>J16-K16+I16</f>
        <v>15000</v>
      </c>
      <c r="M16" s="57">
        <v>0</v>
      </c>
      <c r="O16" s="58"/>
    </row>
    <row r="17" spans="1:15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33">
        <f t="shared" si="0"/>
        <v>0</v>
      </c>
      <c r="K17" s="49">
        <v>0</v>
      </c>
      <c r="L17" s="75">
        <f>-K17+I17</f>
        <v>0</v>
      </c>
      <c r="M17" s="61">
        <f>K17/K18</f>
        <v>0</v>
      </c>
      <c r="O17" s="58"/>
    </row>
    <row r="18" spans="1:15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4">
        <f>SUM(J10:J17)</f>
        <v>10577202.25</v>
      </c>
      <c r="K18" s="95">
        <f>ROUND((SUM(K10:K17)),2)</f>
        <v>2207928.61</v>
      </c>
      <c r="L18" s="94">
        <f>SUM(L10:L17)</f>
        <v>8369273.6399999997</v>
      </c>
      <c r="M18" s="96">
        <f>SUM(M17:M17)</f>
        <v>0</v>
      </c>
      <c r="O18" s="58"/>
    </row>
    <row r="19" spans="1:15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82"/>
      <c r="L19" s="43"/>
      <c r="M19" s="43"/>
      <c r="O19" s="58"/>
    </row>
    <row r="20" spans="1:15">
      <c r="A20" s="78" t="s">
        <v>5</v>
      </c>
      <c r="B20" s="79" t="s">
        <v>102</v>
      </c>
      <c r="C20" s="43"/>
      <c r="D20" s="43"/>
      <c r="E20" s="43"/>
      <c r="F20" s="43"/>
      <c r="G20" s="43"/>
      <c r="H20" s="43"/>
      <c r="I20" s="43"/>
      <c r="J20" s="43"/>
      <c r="K20" s="82"/>
      <c r="L20" s="43"/>
      <c r="M20" s="43"/>
      <c r="O20" s="58"/>
    </row>
    <row r="21" spans="1:15">
      <c r="A21" s="23">
        <v>0</v>
      </c>
      <c r="B21" s="23" t="s">
        <v>9</v>
      </c>
      <c r="C21" s="33"/>
      <c r="D21" s="33"/>
      <c r="E21" s="33"/>
      <c r="F21" s="33"/>
      <c r="G21" s="33"/>
      <c r="H21" s="33"/>
      <c r="I21" s="33"/>
      <c r="J21" s="33"/>
      <c r="K21" s="81"/>
      <c r="L21" s="49"/>
      <c r="M21" s="53"/>
      <c r="O21" s="58"/>
    </row>
    <row r="22" spans="1:15">
      <c r="A22" s="19" t="s">
        <v>13</v>
      </c>
      <c r="B22" s="20" t="s">
        <v>79</v>
      </c>
      <c r="C22" s="33">
        <v>669886</v>
      </c>
      <c r="D22" s="33"/>
      <c r="E22" s="33"/>
      <c r="F22" s="33"/>
      <c r="G22" s="33"/>
      <c r="H22" s="33"/>
      <c r="I22" s="33"/>
      <c r="J22" s="33">
        <f t="shared" ref="J22:J69" si="2">C22+D22-E22+F22-G22+H22-I22</f>
        <v>669886</v>
      </c>
      <c r="K22" s="49">
        <v>195562.37</v>
      </c>
      <c r="L22" s="49">
        <f>J22-K22</f>
        <v>474323.63</v>
      </c>
      <c r="M22" s="53">
        <f t="shared" ref="M22:M33" si="3">K22/$K$114</f>
        <v>0.13100266500376487</v>
      </c>
      <c r="O22" s="58"/>
    </row>
    <row r="23" spans="1:15">
      <c r="A23" s="19" t="s">
        <v>31</v>
      </c>
      <c r="B23" s="20" t="s">
        <v>32</v>
      </c>
      <c r="C23" s="33">
        <v>4500</v>
      </c>
      <c r="D23" s="33"/>
      <c r="E23" s="33"/>
      <c r="F23" s="33"/>
      <c r="G23" s="33"/>
      <c r="H23" s="33"/>
      <c r="I23" s="33"/>
      <c r="J23" s="33">
        <f t="shared" si="2"/>
        <v>4500</v>
      </c>
      <c r="K23" s="49">
        <v>1500</v>
      </c>
      <c r="L23" s="49">
        <f t="shared" ref="L23:L69" si="4">J23-K23</f>
        <v>3000</v>
      </c>
      <c r="M23" s="53">
        <f t="shared" si="3"/>
        <v>1.0048149728684886E-3</v>
      </c>
      <c r="O23" s="58"/>
    </row>
    <row r="24" spans="1:15">
      <c r="A24" s="19" t="s">
        <v>14</v>
      </c>
      <c r="B24" s="20" t="s">
        <v>38</v>
      </c>
      <c r="C24" s="33">
        <v>112250</v>
      </c>
      <c r="D24" s="33"/>
      <c r="E24" s="33"/>
      <c r="F24" s="33"/>
      <c r="G24" s="33"/>
      <c r="H24" s="33"/>
      <c r="I24" s="33"/>
      <c r="J24" s="33">
        <f t="shared" si="2"/>
        <v>112250</v>
      </c>
      <c r="K24" s="49">
        <v>32750</v>
      </c>
      <c r="L24" s="49">
        <f t="shared" si="4"/>
        <v>79500</v>
      </c>
      <c r="M24" s="53">
        <f t="shared" si="3"/>
        <v>2.1938460240962E-2</v>
      </c>
      <c r="O24" s="58"/>
    </row>
    <row r="25" spans="1:15" hidden="1">
      <c r="A25" s="121" t="s">
        <v>114</v>
      </c>
      <c r="B25" s="20" t="s">
        <v>115</v>
      </c>
      <c r="C25" s="33"/>
      <c r="D25" s="33"/>
      <c r="E25" s="33"/>
      <c r="F25" s="33"/>
      <c r="G25" s="33"/>
      <c r="H25" s="33"/>
      <c r="I25" s="33"/>
      <c r="J25" s="33">
        <f t="shared" si="2"/>
        <v>0</v>
      </c>
      <c r="K25" s="49"/>
      <c r="L25" s="49">
        <f t="shared" si="4"/>
        <v>0</v>
      </c>
      <c r="M25" s="53">
        <f t="shared" si="3"/>
        <v>0</v>
      </c>
      <c r="O25" s="58"/>
    </row>
    <row r="26" spans="1:15">
      <c r="A26" s="19" t="s">
        <v>116</v>
      </c>
      <c r="B26" s="20" t="s">
        <v>117</v>
      </c>
      <c r="C26" s="33">
        <v>0</v>
      </c>
      <c r="D26" s="33"/>
      <c r="E26" s="33"/>
      <c r="F26" s="33"/>
      <c r="G26" s="33"/>
      <c r="H26" s="33"/>
      <c r="I26" s="33"/>
      <c r="J26" s="33">
        <f t="shared" si="2"/>
        <v>0</v>
      </c>
      <c r="K26" s="49">
        <v>0</v>
      </c>
      <c r="L26" s="49">
        <f t="shared" si="4"/>
        <v>0</v>
      </c>
      <c r="M26" s="53">
        <f t="shared" si="3"/>
        <v>0</v>
      </c>
      <c r="O26" s="58"/>
    </row>
    <row r="27" spans="1:15">
      <c r="A27" s="19" t="s">
        <v>88</v>
      </c>
      <c r="B27" s="20" t="s">
        <v>89</v>
      </c>
      <c r="C27" s="33">
        <v>15400</v>
      </c>
      <c r="D27" s="33"/>
      <c r="E27" s="33"/>
      <c r="F27" s="33"/>
      <c r="G27" s="33"/>
      <c r="H27" s="33"/>
      <c r="I27" s="33"/>
      <c r="J27" s="33">
        <f t="shared" si="2"/>
        <v>15400</v>
      </c>
      <c r="K27" s="49">
        <v>0</v>
      </c>
      <c r="L27" s="49">
        <f t="shared" si="4"/>
        <v>15400</v>
      </c>
      <c r="M27" s="53">
        <f t="shared" si="3"/>
        <v>0</v>
      </c>
      <c r="O27" s="58"/>
    </row>
    <row r="28" spans="1:15">
      <c r="A28" s="19" t="s">
        <v>20</v>
      </c>
      <c r="B28" s="20" t="s">
        <v>21</v>
      </c>
      <c r="C28" s="33">
        <v>31068.6</v>
      </c>
      <c r="D28" s="33"/>
      <c r="E28" s="33"/>
      <c r="F28" s="33"/>
      <c r="G28" s="33"/>
      <c r="H28" s="33"/>
      <c r="I28" s="33"/>
      <c r="J28" s="33">
        <f t="shared" si="2"/>
        <v>31068.6</v>
      </c>
      <c r="K28" s="49">
        <v>8559.85</v>
      </c>
      <c r="L28" s="49">
        <f t="shared" si="4"/>
        <v>22508.75</v>
      </c>
      <c r="M28" s="53">
        <f t="shared" si="3"/>
        <v>5.7340436303388882E-3</v>
      </c>
      <c r="O28" s="58"/>
    </row>
    <row r="29" spans="1:15">
      <c r="A29" s="19" t="s">
        <v>15</v>
      </c>
      <c r="B29" s="20" t="s">
        <v>110</v>
      </c>
      <c r="C29" s="33">
        <v>94901</v>
      </c>
      <c r="D29" s="33"/>
      <c r="E29" s="33"/>
      <c r="F29" s="33"/>
      <c r="G29" s="33"/>
      <c r="H29" s="33"/>
      <c r="I29" s="33"/>
      <c r="J29" s="33">
        <f t="shared" si="2"/>
        <v>94901</v>
      </c>
      <c r="K29" s="49">
        <v>16428.580000000002</v>
      </c>
      <c r="L29" s="49">
        <f t="shared" si="4"/>
        <v>78472.42</v>
      </c>
      <c r="M29" s="53">
        <f t="shared" si="3"/>
        <v>1.1005122111311863E-2</v>
      </c>
      <c r="O29" s="58"/>
    </row>
    <row r="30" spans="1:15">
      <c r="A30" s="19" t="s">
        <v>16</v>
      </c>
      <c r="B30" s="20" t="s">
        <v>111</v>
      </c>
      <c r="C30" s="33">
        <v>8132.05</v>
      </c>
      <c r="D30" s="33"/>
      <c r="E30" s="33"/>
      <c r="F30" s="33"/>
      <c r="G30" s="33"/>
      <c r="H30" s="33"/>
      <c r="I30" s="33"/>
      <c r="J30" s="33">
        <f t="shared" si="2"/>
        <v>8132.05</v>
      </c>
      <c r="K30" s="49">
        <v>1539.7</v>
      </c>
      <c r="L30" s="49">
        <f t="shared" si="4"/>
        <v>6592.35</v>
      </c>
      <c r="M30" s="53">
        <f t="shared" si="3"/>
        <v>1.0314090758170747E-3</v>
      </c>
      <c r="O30" s="58"/>
    </row>
    <row r="31" spans="1:15">
      <c r="A31" s="19" t="s">
        <v>17</v>
      </c>
      <c r="B31" s="21" t="s">
        <v>77</v>
      </c>
      <c r="C31" s="33">
        <v>59303</v>
      </c>
      <c r="D31" s="33"/>
      <c r="E31" s="33"/>
      <c r="F31" s="33"/>
      <c r="G31" s="33"/>
      <c r="H31" s="33"/>
      <c r="I31" s="33"/>
      <c r="J31" s="33">
        <f t="shared" si="2"/>
        <v>59303</v>
      </c>
      <c r="K31" s="49">
        <v>0</v>
      </c>
      <c r="L31" s="49">
        <f t="shared" si="4"/>
        <v>59303</v>
      </c>
      <c r="M31" s="53">
        <f t="shared" si="3"/>
        <v>0</v>
      </c>
      <c r="O31" s="58"/>
    </row>
    <row r="32" spans="1:15">
      <c r="A32" s="19" t="s">
        <v>18</v>
      </c>
      <c r="B32" s="20" t="s">
        <v>80</v>
      </c>
      <c r="C32" s="33">
        <v>59303</v>
      </c>
      <c r="D32" s="33"/>
      <c r="E32" s="33"/>
      <c r="F32" s="33"/>
      <c r="G32" s="33"/>
      <c r="H32" s="33"/>
      <c r="I32" s="33"/>
      <c r="J32" s="33">
        <f t="shared" si="2"/>
        <v>59303</v>
      </c>
      <c r="K32" s="49">
        <v>0</v>
      </c>
      <c r="L32" s="49">
        <f t="shared" si="4"/>
        <v>59303</v>
      </c>
      <c r="M32" s="53">
        <f t="shared" si="3"/>
        <v>0</v>
      </c>
      <c r="O32" s="58"/>
    </row>
    <row r="33" spans="1:15">
      <c r="A33" s="19" t="s">
        <v>19</v>
      </c>
      <c r="B33" s="20" t="s">
        <v>78</v>
      </c>
      <c r="C33" s="33">
        <v>4000</v>
      </c>
      <c r="D33" s="33"/>
      <c r="E33" s="33"/>
      <c r="F33" s="33"/>
      <c r="G33" s="33"/>
      <c r="H33" s="33"/>
      <c r="I33" s="33"/>
      <c r="J33" s="33">
        <f t="shared" si="2"/>
        <v>4000</v>
      </c>
      <c r="K33" s="49">
        <v>0</v>
      </c>
      <c r="L33" s="49">
        <f t="shared" si="4"/>
        <v>4000</v>
      </c>
      <c r="M33" s="53">
        <f t="shared" si="3"/>
        <v>0</v>
      </c>
      <c r="O33" s="58"/>
    </row>
    <row r="34" spans="1:15">
      <c r="A34" s="19"/>
      <c r="B34" s="20"/>
      <c r="C34" s="33"/>
      <c r="D34" s="33"/>
      <c r="E34" s="33"/>
      <c r="F34" s="33"/>
      <c r="G34" s="33"/>
      <c r="H34" s="33"/>
      <c r="I34" s="33"/>
      <c r="J34" s="33"/>
      <c r="K34" s="81"/>
      <c r="L34" s="49"/>
      <c r="M34" s="53"/>
      <c r="O34" s="58"/>
    </row>
    <row r="35" spans="1:15">
      <c r="A35" s="23">
        <v>1</v>
      </c>
      <c r="B35" s="23" t="s">
        <v>10</v>
      </c>
      <c r="C35" s="33"/>
      <c r="D35" s="33"/>
      <c r="E35" s="33"/>
      <c r="F35" s="33"/>
      <c r="G35" s="33"/>
      <c r="H35" s="33"/>
      <c r="I35" s="33"/>
      <c r="J35" s="33"/>
      <c r="K35" s="83"/>
      <c r="L35" s="49"/>
      <c r="M35" s="53"/>
      <c r="O35" s="58"/>
    </row>
    <row r="36" spans="1:15">
      <c r="A36" s="24">
        <v>111</v>
      </c>
      <c r="B36" s="20" t="s">
        <v>39</v>
      </c>
      <c r="C36" s="33">
        <v>13125</v>
      </c>
      <c r="D36" s="33"/>
      <c r="E36" s="33"/>
      <c r="F36" s="33"/>
      <c r="G36" s="33"/>
      <c r="H36" s="33"/>
      <c r="I36" s="33"/>
      <c r="J36" s="33">
        <f t="shared" si="2"/>
        <v>13125</v>
      </c>
      <c r="K36" s="49">
        <v>2686.54</v>
      </c>
      <c r="L36" s="49">
        <f t="shared" si="4"/>
        <v>10438.459999999999</v>
      </c>
      <c r="M36" s="53">
        <f t="shared" ref="M36:M69" si="5">K36/$K$114</f>
        <v>1.7996504114734062E-3</v>
      </c>
      <c r="O36" s="58"/>
    </row>
    <row r="37" spans="1:15">
      <c r="A37" s="24">
        <v>113</v>
      </c>
      <c r="B37" s="20" t="s">
        <v>48</v>
      </c>
      <c r="C37" s="33">
        <v>24780</v>
      </c>
      <c r="D37" s="33"/>
      <c r="E37" s="33"/>
      <c r="F37" s="33"/>
      <c r="G37" s="33"/>
      <c r="H37" s="33"/>
      <c r="I37" s="33"/>
      <c r="J37" s="33">
        <f t="shared" si="2"/>
        <v>24780</v>
      </c>
      <c r="K37" s="49">
        <v>5665</v>
      </c>
      <c r="L37" s="49">
        <f t="shared" si="4"/>
        <v>19115</v>
      </c>
      <c r="M37" s="53">
        <f t="shared" si="5"/>
        <v>3.7948512141999916E-3</v>
      </c>
      <c r="O37" s="58"/>
    </row>
    <row r="38" spans="1:15">
      <c r="A38" s="24">
        <v>114</v>
      </c>
      <c r="B38" s="20" t="s">
        <v>109</v>
      </c>
      <c r="C38" s="33">
        <v>2500</v>
      </c>
      <c r="D38" s="33"/>
      <c r="E38" s="33"/>
      <c r="F38" s="33"/>
      <c r="G38" s="33"/>
      <c r="H38" s="33"/>
      <c r="I38" s="33"/>
      <c r="J38" s="33">
        <f t="shared" si="2"/>
        <v>2500</v>
      </c>
      <c r="K38" s="49">
        <v>533.79</v>
      </c>
      <c r="L38" s="49">
        <f t="shared" si="4"/>
        <v>1966.21</v>
      </c>
      <c r="M38" s="53">
        <f t="shared" si="5"/>
        <v>3.575734562449803E-4</v>
      </c>
      <c r="O38" s="58"/>
    </row>
    <row r="39" spans="1:15">
      <c r="A39" s="24">
        <v>121</v>
      </c>
      <c r="B39" s="20" t="s">
        <v>155</v>
      </c>
      <c r="C39" s="33">
        <v>12250</v>
      </c>
      <c r="D39" s="33"/>
      <c r="E39" s="33"/>
      <c r="F39" s="33"/>
      <c r="G39" s="33"/>
      <c r="H39" s="33"/>
      <c r="I39" s="33"/>
      <c r="J39" s="33">
        <f t="shared" si="2"/>
        <v>12250</v>
      </c>
      <c r="K39" s="49">
        <v>2606</v>
      </c>
      <c r="L39" s="49">
        <f t="shared" si="4"/>
        <v>9644</v>
      </c>
      <c r="M39" s="53">
        <f t="shared" si="5"/>
        <v>1.7456985461968542E-3</v>
      </c>
      <c r="O39" s="58"/>
    </row>
    <row r="40" spans="1:15">
      <c r="A40" s="24">
        <v>122</v>
      </c>
      <c r="B40" s="20" t="s">
        <v>81</v>
      </c>
      <c r="C40" s="33">
        <v>29000</v>
      </c>
      <c r="D40" s="33"/>
      <c r="E40" s="33"/>
      <c r="F40" s="33"/>
      <c r="G40" s="33"/>
      <c r="H40" s="33"/>
      <c r="I40" s="33"/>
      <c r="J40" s="33">
        <f t="shared" si="2"/>
        <v>29000</v>
      </c>
      <c r="K40" s="49">
        <v>18419.5</v>
      </c>
      <c r="L40" s="49">
        <f t="shared" si="4"/>
        <v>10580.5</v>
      </c>
      <c r="M40" s="53">
        <f t="shared" si="5"/>
        <v>1.233879292850075E-2</v>
      </c>
      <c r="N40" s="63"/>
      <c r="O40" s="58"/>
    </row>
    <row r="41" spans="1:15">
      <c r="A41" s="24">
        <v>131</v>
      </c>
      <c r="B41" s="20" t="s">
        <v>51</v>
      </c>
      <c r="C41" s="33">
        <v>1251963.1500000001</v>
      </c>
      <c r="D41" s="33"/>
      <c r="E41" s="33"/>
      <c r="F41" s="33"/>
      <c r="G41" s="33"/>
      <c r="H41" s="33"/>
      <c r="I41" s="33"/>
      <c r="J41" s="33">
        <f t="shared" si="2"/>
        <v>1251963.1500000001</v>
      </c>
      <c r="K41" s="49">
        <v>541802.47</v>
      </c>
      <c r="L41" s="49">
        <f t="shared" si="4"/>
        <v>710160.68000000017</v>
      </c>
      <c r="M41" s="53">
        <f t="shared" si="5"/>
        <v>0.36294082279542006</v>
      </c>
      <c r="O41" s="58"/>
    </row>
    <row r="42" spans="1:15">
      <c r="A42" s="24">
        <v>133</v>
      </c>
      <c r="B42" s="20" t="s">
        <v>52</v>
      </c>
      <c r="C42" s="33">
        <v>1500</v>
      </c>
      <c r="D42" s="33"/>
      <c r="E42" s="33"/>
      <c r="F42" s="33"/>
      <c r="G42" s="33"/>
      <c r="H42" s="33"/>
      <c r="I42" s="33"/>
      <c r="J42" s="33">
        <f t="shared" si="2"/>
        <v>1500</v>
      </c>
      <c r="K42" s="49">
        <v>0</v>
      </c>
      <c r="L42" s="49">
        <f t="shared" si="4"/>
        <v>1500</v>
      </c>
      <c r="M42" s="53">
        <f t="shared" si="5"/>
        <v>0</v>
      </c>
      <c r="O42" s="58"/>
    </row>
    <row r="43" spans="1:15" hidden="1">
      <c r="A43" s="120">
        <v>134</v>
      </c>
      <c r="B43" s="20" t="s">
        <v>82</v>
      </c>
      <c r="C43" s="33">
        <v>0</v>
      </c>
      <c r="D43" s="33"/>
      <c r="E43" s="33"/>
      <c r="F43" s="33"/>
      <c r="G43" s="33"/>
      <c r="H43" s="33"/>
      <c r="I43" s="33"/>
      <c r="J43" s="33">
        <f t="shared" si="2"/>
        <v>0</v>
      </c>
      <c r="K43" s="49"/>
      <c r="L43" s="49">
        <f t="shared" si="4"/>
        <v>0</v>
      </c>
      <c r="M43" s="53">
        <f t="shared" si="5"/>
        <v>0</v>
      </c>
      <c r="O43" s="58"/>
    </row>
    <row r="44" spans="1:15">
      <c r="A44" s="24">
        <v>135</v>
      </c>
      <c r="B44" s="20" t="s">
        <v>90</v>
      </c>
      <c r="C44" s="33">
        <v>100840.04999999999</v>
      </c>
      <c r="D44" s="33"/>
      <c r="E44" s="33"/>
      <c r="F44" s="33"/>
      <c r="G44" s="33"/>
      <c r="H44" s="33"/>
      <c r="I44" s="33"/>
      <c r="J44" s="33">
        <f t="shared" si="2"/>
        <v>100840.04999999999</v>
      </c>
      <c r="K44" s="49">
        <v>61938.05</v>
      </c>
      <c r="L44" s="49">
        <f t="shared" si="4"/>
        <v>38901.999999999985</v>
      </c>
      <c r="M44" s="53">
        <f t="shared" si="5"/>
        <v>4.1490853353518063E-2</v>
      </c>
      <c r="O44" s="58"/>
    </row>
    <row r="45" spans="1:15">
      <c r="A45" s="24">
        <v>141</v>
      </c>
      <c r="B45" s="20" t="s">
        <v>71</v>
      </c>
      <c r="C45" s="33">
        <v>846850</v>
      </c>
      <c r="D45" s="33"/>
      <c r="E45" s="33"/>
      <c r="F45" s="33"/>
      <c r="G45" s="33"/>
      <c r="H45" s="33"/>
      <c r="I45" s="33"/>
      <c r="J45" s="33">
        <f t="shared" si="2"/>
        <v>846850</v>
      </c>
      <c r="K45" s="49">
        <v>257129.19</v>
      </c>
      <c r="L45" s="49">
        <f t="shared" si="4"/>
        <v>589720.81000000006</v>
      </c>
      <c r="M45" s="53">
        <f t="shared" si="5"/>
        <v>0.17224484004903096</v>
      </c>
      <c r="O45" s="58"/>
    </row>
    <row r="46" spans="1:15">
      <c r="A46" s="24">
        <v>142</v>
      </c>
      <c r="B46" s="20" t="s">
        <v>22</v>
      </c>
      <c r="C46" s="33">
        <v>16000</v>
      </c>
      <c r="D46" s="33"/>
      <c r="E46" s="33"/>
      <c r="F46" s="33"/>
      <c r="G46" s="33"/>
      <c r="H46" s="33"/>
      <c r="I46" s="33"/>
      <c r="J46" s="33">
        <f t="shared" si="2"/>
        <v>16000</v>
      </c>
      <c r="K46" s="49">
        <v>0</v>
      </c>
      <c r="L46" s="49">
        <f t="shared" si="4"/>
        <v>16000</v>
      </c>
      <c r="M46" s="53">
        <f t="shared" si="5"/>
        <v>0</v>
      </c>
      <c r="O46" s="58"/>
    </row>
    <row r="47" spans="1:15">
      <c r="A47" s="24">
        <v>143</v>
      </c>
      <c r="B47" s="20" t="s">
        <v>112</v>
      </c>
      <c r="C47" s="33">
        <v>27000</v>
      </c>
      <c r="D47" s="33"/>
      <c r="E47" s="33"/>
      <c r="F47" s="33"/>
      <c r="G47" s="33"/>
      <c r="H47" s="33"/>
      <c r="I47" s="33"/>
      <c r="J47" s="33">
        <f t="shared" si="2"/>
        <v>27000</v>
      </c>
      <c r="K47" s="49">
        <v>0</v>
      </c>
      <c r="L47" s="49">
        <f t="shared" si="4"/>
        <v>27000</v>
      </c>
      <c r="M47" s="53">
        <f t="shared" si="5"/>
        <v>0</v>
      </c>
      <c r="O47" s="58"/>
    </row>
    <row r="48" spans="1:15">
      <c r="A48" s="24">
        <v>151</v>
      </c>
      <c r="B48" s="20" t="s">
        <v>118</v>
      </c>
      <c r="C48" s="33">
        <v>70560</v>
      </c>
      <c r="D48" s="33"/>
      <c r="E48" s="33"/>
      <c r="F48" s="33"/>
      <c r="G48" s="33"/>
      <c r="H48" s="33"/>
      <c r="I48" s="33"/>
      <c r="J48" s="33">
        <f t="shared" si="2"/>
        <v>70560</v>
      </c>
      <c r="K48" s="49">
        <v>23257.5</v>
      </c>
      <c r="L48" s="49">
        <f t="shared" si="4"/>
        <v>47302.5</v>
      </c>
      <c r="M48" s="53">
        <f t="shared" si="5"/>
        <v>1.5579656154325916E-2</v>
      </c>
      <c r="O48" s="58"/>
    </row>
    <row r="49" spans="1:15" hidden="1">
      <c r="A49" s="120">
        <v>155</v>
      </c>
      <c r="B49" s="20" t="s">
        <v>33</v>
      </c>
      <c r="C49" s="33">
        <v>0</v>
      </c>
      <c r="D49" s="33"/>
      <c r="E49" s="33"/>
      <c r="F49" s="33"/>
      <c r="G49" s="33"/>
      <c r="H49" s="33"/>
      <c r="I49" s="33"/>
      <c r="J49" s="33">
        <f t="shared" si="2"/>
        <v>0</v>
      </c>
      <c r="K49" s="49"/>
      <c r="L49" s="49">
        <f t="shared" si="4"/>
        <v>0</v>
      </c>
      <c r="M49" s="53">
        <f t="shared" si="5"/>
        <v>0</v>
      </c>
      <c r="O49" s="58"/>
    </row>
    <row r="50" spans="1:15">
      <c r="A50" s="24">
        <v>158</v>
      </c>
      <c r="B50" s="20" t="s">
        <v>91</v>
      </c>
      <c r="C50" s="33">
        <v>6550</v>
      </c>
      <c r="D50" s="33"/>
      <c r="E50" s="33"/>
      <c r="F50" s="33"/>
      <c r="G50" s="33"/>
      <c r="H50" s="33"/>
      <c r="I50" s="33"/>
      <c r="J50" s="33">
        <f t="shared" si="2"/>
        <v>6550</v>
      </c>
      <c r="K50" s="49">
        <v>1416</v>
      </c>
      <c r="L50" s="49">
        <f t="shared" si="4"/>
        <v>5134</v>
      </c>
      <c r="M50" s="53">
        <f t="shared" si="5"/>
        <v>9.485453343878532E-4</v>
      </c>
      <c r="O50" s="58"/>
    </row>
    <row r="51" spans="1:15">
      <c r="A51" s="24">
        <v>162</v>
      </c>
      <c r="B51" s="20" t="s">
        <v>53</v>
      </c>
      <c r="C51" s="33">
        <v>2000</v>
      </c>
      <c r="D51" s="33"/>
      <c r="E51" s="33"/>
      <c r="F51" s="33"/>
      <c r="G51" s="33"/>
      <c r="H51" s="33"/>
      <c r="I51" s="33"/>
      <c r="J51" s="33">
        <f t="shared" si="2"/>
        <v>2000</v>
      </c>
      <c r="K51" s="49">
        <v>0</v>
      </c>
      <c r="L51" s="49">
        <f t="shared" si="4"/>
        <v>2000</v>
      </c>
      <c r="M51" s="53">
        <f t="shared" si="5"/>
        <v>0</v>
      </c>
      <c r="O51" s="58"/>
    </row>
    <row r="52" spans="1:15">
      <c r="A52" s="24">
        <v>164</v>
      </c>
      <c r="B52" s="20" t="s">
        <v>40</v>
      </c>
      <c r="C52" s="33">
        <v>20000</v>
      </c>
      <c r="D52" s="33"/>
      <c r="E52" s="33"/>
      <c r="F52" s="33"/>
      <c r="G52" s="33"/>
      <c r="H52" s="33"/>
      <c r="I52" s="33"/>
      <c r="J52" s="33">
        <f t="shared" si="2"/>
        <v>20000</v>
      </c>
      <c r="K52" s="49">
        <v>0</v>
      </c>
      <c r="L52" s="49">
        <f t="shared" si="4"/>
        <v>20000</v>
      </c>
      <c r="M52" s="53">
        <f t="shared" si="5"/>
        <v>0</v>
      </c>
      <c r="O52" s="58"/>
    </row>
    <row r="53" spans="1:15">
      <c r="A53" s="24">
        <v>165</v>
      </c>
      <c r="B53" s="20" t="s">
        <v>92</v>
      </c>
      <c r="C53" s="33">
        <v>6900</v>
      </c>
      <c r="D53" s="33"/>
      <c r="E53" s="33"/>
      <c r="F53" s="33"/>
      <c r="G53" s="33"/>
      <c r="H53" s="33"/>
      <c r="I53" s="33"/>
      <c r="J53" s="33">
        <f t="shared" si="2"/>
        <v>6900</v>
      </c>
      <c r="K53" s="49">
        <v>1492.94</v>
      </c>
      <c r="L53" s="49">
        <f t="shared" si="4"/>
        <v>5407.0599999999995</v>
      </c>
      <c r="M53" s="53">
        <f t="shared" si="5"/>
        <v>1.000085643729521E-3</v>
      </c>
      <c r="O53" s="58"/>
    </row>
    <row r="54" spans="1:15">
      <c r="A54" s="24">
        <v>168</v>
      </c>
      <c r="B54" s="20" t="s">
        <v>54</v>
      </c>
      <c r="C54" s="33">
        <v>3000</v>
      </c>
      <c r="D54" s="33"/>
      <c r="E54" s="33"/>
      <c r="F54" s="33"/>
      <c r="G54" s="33"/>
      <c r="H54" s="33"/>
      <c r="I54" s="33"/>
      <c r="J54" s="33">
        <f t="shared" si="2"/>
        <v>3000</v>
      </c>
      <c r="K54" s="49">
        <v>0</v>
      </c>
      <c r="L54" s="49">
        <f t="shared" si="4"/>
        <v>3000</v>
      </c>
      <c r="M54" s="53">
        <f t="shared" si="5"/>
        <v>0</v>
      </c>
      <c r="O54" s="58"/>
    </row>
    <row r="55" spans="1:15">
      <c r="A55" s="24">
        <v>174</v>
      </c>
      <c r="B55" s="20" t="s">
        <v>41</v>
      </c>
      <c r="C55" s="33">
        <v>5000</v>
      </c>
      <c r="D55" s="33"/>
      <c r="E55" s="33"/>
      <c r="F55" s="33"/>
      <c r="G55" s="33"/>
      <c r="H55" s="33"/>
      <c r="I55" s="33"/>
      <c r="J55" s="33">
        <f t="shared" si="2"/>
        <v>5000</v>
      </c>
      <c r="K55" s="49">
        <v>2500</v>
      </c>
      <c r="L55" s="49">
        <f t="shared" si="4"/>
        <v>2500</v>
      </c>
      <c r="M55" s="53">
        <f t="shared" si="5"/>
        <v>1.674691621447481E-3</v>
      </c>
      <c r="O55" s="58"/>
    </row>
    <row r="56" spans="1:15">
      <c r="A56" s="24">
        <v>181</v>
      </c>
      <c r="B56" s="20" t="s">
        <v>139</v>
      </c>
      <c r="C56" s="33">
        <v>158000</v>
      </c>
      <c r="D56" s="33"/>
      <c r="E56" s="33"/>
      <c r="F56" s="33"/>
      <c r="G56" s="33"/>
      <c r="H56" s="33"/>
      <c r="I56" s="33"/>
      <c r="J56" s="33">
        <f t="shared" si="2"/>
        <v>158000</v>
      </c>
      <c r="K56" s="49">
        <v>0</v>
      </c>
      <c r="L56" s="49">
        <f t="shared" si="4"/>
        <v>158000</v>
      </c>
      <c r="M56" s="53">
        <f t="shared" si="5"/>
        <v>0</v>
      </c>
      <c r="O56" s="58"/>
    </row>
    <row r="57" spans="1:15" hidden="1">
      <c r="A57" s="120">
        <v>182</v>
      </c>
      <c r="B57" s="20" t="s">
        <v>56</v>
      </c>
      <c r="C57" s="33">
        <v>0</v>
      </c>
      <c r="D57" s="33"/>
      <c r="E57" s="33"/>
      <c r="F57" s="33"/>
      <c r="G57" s="33"/>
      <c r="H57" s="33"/>
      <c r="I57" s="33"/>
      <c r="J57" s="33">
        <f t="shared" si="2"/>
        <v>0</v>
      </c>
      <c r="K57" s="49"/>
      <c r="L57" s="49">
        <f t="shared" si="4"/>
        <v>0</v>
      </c>
      <c r="M57" s="53">
        <f t="shared" si="5"/>
        <v>0</v>
      </c>
      <c r="O57" s="58"/>
    </row>
    <row r="58" spans="1:15">
      <c r="A58" s="24">
        <v>183</v>
      </c>
      <c r="B58" s="20" t="s">
        <v>93</v>
      </c>
      <c r="C58" s="33">
        <v>85000</v>
      </c>
      <c r="D58" s="33"/>
      <c r="E58" s="33"/>
      <c r="F58" s="33"/>
      <c r="G58" s="33"/>
      <c r="H58" s="33"/>
      <c r="I58" s="33"/>
      <c r="J58" s="33">
        <f t="shared" si="2"/>
        <v>85000</v>
      </c>
      <c r="K58" s="49">
        <v>10750</v>
      </c>
      <c r="L58" s="49">
        <f t="shared" si="4"/>
        <v>74250</v>
      </c>
      <c r="M58" s="53">
        <f t="shared" si="5"/>
        <v>7.2011739722241683E-3</v>
      </c>
      <c r="O58" s="58"/>
    </row>
    <row r="59" spans="1:15">
      <c r="A59" s="24">
        <v>184</v>
      </c>
      <c r="B59" s="20" t="s">
        <v>94</v>
      </c>
      <c r="C59" s="33">
        <v>50000</v>
      </c>
      <c r="D59" s="33"/>
      <c r="E59" s="33"/>
      <c r="F59" s="33"/>
      <c r="G59" s="33"/>
      <c r="H59" s="33"/>
      <c r="I59" s="33"/>
      <c r="J59" s="33">
        <f t="shared" si="2"/>
        <v>50000</v>
      </c>
      <c r="K59" s="49">
        <v>15821.43</v>
      </c>
      <c r="L59" s="49">
        <f t="shared" si="4"/>
        <v>34178.57</v>
      </c>
      <c r="M59" s="53">
        <f t="shared" si="5"/>
        <v>1.0598406504127128E-2</v>
      </c>
      <c r="O59" s="58"/>
    </row>
    <row r="60" spans="1:15">
      <c r="A60" s="24">
        <v>185</v>
      </c>
      <c r="B60" s="20" t="s">
        <v>95</v>
      </c>
      <c r="C60" s="33">
        <v>15000</v>
      </c>
      <c r="D60" s="33"/>
      <c r="E60" s="33"/>
      <c r="F60" s="33"/>
      <c r="G60" s="33"/>
      <c r="H60" s="33"/>
      <c r="I60" s="33"/>
      <c r="J60" s="33">
        <f t="shared" si="2"/>
        <v>15000</v>
      </c>
      <c r="K60" s="49">
        <v>3402</v>
      </c>
      <c r="L60" s="49">
        <f t="shared" si="4"/>
        <v>11598</v>
      </c>
      <c r="M60" s="53">
        <f t="shared" si="5"/>
        <v>2.2789203584657322E-3</v>
      </c>
      <c r="O60" s="58"/>
    </row>
    <row r="61" spans="1:15">
      <c r="A61" s="24">
        <v>186</v>
      </c>
      <c r="B61" s="20" t="s">
        <v>42</v>
      </c>
      <c r="C61" s="33">
        <v>2000</v>
      </c>
      <c r="D61" s="33"/>
      <c r="E61" s="33"/>
      <c r="F61" s="33"/>
      <c r="G61" s="33"/>
      <c r="H61" s="33"/>
      <c r="I61" s="33"/>
      <c r="J61" s="33">
        <f t="shared" si="2"/>
        <v>2000</v>
      </c>
      <c r="K61" s="49">
        <v>1140</v>
      </c>
      <c r="L61" s="49">
        <f t="shared" si="4"/>
        <v>860</v>
      </c>
      <c r="M61" s="53">
        <f t="shared" si="5"/>
        <v>7.6365937938005133E-4</v>
      </c>
      <c r="O61" s="58"/>
    </row>
    <row r="62" spans="1:15">
      <c r="A62" s="24">
        <v>187</v>
      </c>
      <c r="B62" s="20" t="s">
        <v>96</v>
      </c>
      <c r="C62" s="33">
        <v>20000</v>
      </c>
      <c r="D62" s="33"/>
      <c r="E62" s="33"/>
      <c r="F62" s="33"/>
      <c r="G62" s="33"/>
      <c r="H62" s="33"/>
      <c r="I62" s="33"/>
      <c r="J62" s="33">
        <f t="shared" si="2"/>
        <v>20000</v>
      </c>
      <c r="K62" s="49">
        <v>1600</v>
      </c>
      <c r="L62" s="49">
        <f t="shared" si="4"/>
        <v>18400</v>
      </c>
      <c r="M62" s="53">
        <f t="shared" si="5"/>
        <v>1.0718026377263877E-3</v>
      </c>
      <c r="O62" s="58"/>
    </row>
    <row r="63" spans="1:15">
      <c r="A63" s="24">
        <v>188</v>
      </c>
      <c r="B63" s="20" t="s">
        <v>97</v>
      </c>
      <c r="C63" s="33">
        <v>60000</v>
      </c>
      <c r="D63" s="33"/>
      <c r="E63" s="33"/>
      <c r="F63" s="33"/>
      <c r="G63" s="33"/>
      <c r="H63" s="33"/>
      <c r="I63" s="33"/>
      <c r="J63" s="33">
        <f t="shared" si="2"/>
        <v>60000</v>
      </c>
      <c r="K63" s="49">
        <v>0</v>
      </c>
      <c r="L63" s="49">
        <f t="shared" si="4"/>
        <v>60000</v>
      </c>
      <c r="M63" s="53">
        <f t="shared" si="5"/>
        <v>0</v>
      </c>
      <c r="O63" s="58"/>
    </row>
    <row r="64" spans="1:15">
      <c r="A64" s="24">
        <v>189</v>
      </c>
      <c r="B64" s="20" t="s">
        <v>98</v>
      </c>
      <c r="C64" s="33">
        <v>285000</v>
      </c>
      <c r="D64" s="33"/>
      <c r="E64" s="33"/>
      <c r="F64" s="33"/>
      <c r="G64" s="33"/>
      <c r="H64" s="33"/>
      <c r="I64" s="33"/>
      <c r="J64" s="33">
        <f t="shared" si="2"/>
        <v>285000</v>
      </c>
      <c r="K64" s="49">
        <v>65062.86</v>
      </c>
      <c r="L64" s="49">
        <f t="shared" si="4"/>
        <v>219937.14</v>
      </c>
      <c r="M64" s="53">
        <f t="shared" si="5"/>
        <v>4.3584090603764183E-2</v>
      </c>
      <c r="O64" s="58"/>
    </row>
    <row r="65" spans="1:16">
      <c r="A65" s="24">
        <v>191</v>
      </c>
      <c r="B65" s="20" t="s">
        <v>99</v>
      </c>
      <c r="C65" s="33">
        <v>11250</v>
      </c>
      <c r="D65" s="33"/>
      <c r="E65" s="33"/>
      <c r="F65" s="76"/>
      <c r="G65" s="33"/>
      <c r="H65" s="33"/>
      <c r="I65" s="33"/>
      <c r="J65" s="33">
        <f t="shared" si="2"/>
        <v>11250</v>
      </c>
      <c r="K65" s="49">
        <v>0</v>
      </c>
      <c r="L65" s="49">
        <f t="shared" si="4"/>
        <v>11250</v>
      </c>
      <c r="M65" s="53">
        <f t="shared" si="5"/>
        <v>0</v>
      </c>
      <c r="O65" s="58"/>
    </row>
    <row r="66" spans="1:16">
      <c r="A66" s="24">
        <v>194</v>
      </c>
      <c r="B66" s="20" t="s">
        <v>148</v>
      </c>
      <c r="C66" s="33">
        <v>5000</v>
      </c>
      <c r="D66" s="33"/>
      <c r="E66" s="33"/>
      <c r="F66" s="33"/>
      <c r="G66" s="33"/>
      <c r="H66" s="33"/>
      <c r="I66" s="33"/>
      <c r="J66" s="33">
        <f t="shared" si="2"/>
        <v>5000</v>
      </c>
      <c r="K66" s="49">
        <v>787.76999999999987</v>
      </c>
      <c r="L66" s="49">
        <f t="shared" si="4"/>
        <v>4212.2300000000005</v>
      </c>
      <c r="M66" s="53">
        <f t="shared" si="5"/>
        <v>5.2770872745107279E-4</v>
      </c>
      <c r="O66" s="58"/>
    </row>
    <row r="67" spans="1:16">
      <c r="A67" s="24">
        <v>195</v>
      </c>
      <c r="B67" s="20" t="s">
        <v>34</v>
      </c>
      <c r="C67" s="33">
        <v>10000</v>
      </c>
      <c r="D67" s="33"/>
      <c r="E67" s="33"/>
      <c r="F67" s="33"/>
      <c r="G67" s="33"/>
      <c r="H67" s="33"/>
      <c r="I67" s="33"/>
      <c r="J67" s="33">
        <f t="shared" si="2"/>
        <v>10000</v>
      </c>
      <c r="K67" s="49">
        <v>297</v>
      </c>
      <c r="L67" s="49">
        <f t="shared" si="4"/>
        <v>9703</v>
      </c>
      <c r="M67" s="53">
        <f t="shared" si="5"/>
        <v>1.9895336462796075E-4</v>
      </c>
      <c r="O67" s="58"/>
    </row>
    <row r="68" spans="1:16">
      <c r="A68" s="24">
        <v>196</v>
      </c>
      <c r="B68" s="20" t="s">
        <v>100</v>
      </c>
      <c r="C68" s="33">
        <v>20000</v>
      </c>
      <c r="D68" s="33"/>
      <c r="E68" s="33"/>
      <c r="F68" s="33"/>
      <c r="G68" s="33"/>
      <c r="H68" s="33"/>
      <c r="I68" s="33"/>
      <c r="J68" s="33">
        <f t="shared" si="2"/>
        <v>20000</v>
      </c>
      <c r="K68" s="49">
        <v>0</v>
      </c>
      <c r="L68" s="49">
        <f t="shared" si="4"/>
        <v>20000</v>
      </c>
      <c r="M68" s="53">
        <f t="shared" si="5"/>
        <v>0</v>
      </c>
      <c r="O68" s="58"/>
    </row>
    <row r="69" spans="1:16">
      <c r="A69" s="24">
        <v>199</v>
      </c>
      <c r="B69" s="20" t="s">
        <v>55</v>
      </c>
      <c r="C69" s="33">
        <v>25000</v>
      </c>
      <c r="D69" s="33"/>
      <c r="E69" s="33"/>
      <c r="F69" s="33"/>
      <c r="G69" s="33"/>
      <c r="H69" s="33"/>
      <c r="I69" s="33"/>
      <c r="J69" s="33">
        <f t="shared" si="2"/>
        <v>25000</v>
      </c>
      <c r="K69" s="49">
        <v>14764.87</v>
      </c>
      <c r="L69" s="49">
        <f t="shared" si="4"/>
        <v>10235.129999999999</v>
      </c>
      <c r="M69" s="53">
        <f t="shared" si="5"/>
        <v>9.8906416323045077E-3</v>
      </c>
      <c r="O69" s="58"/>
    </row>
    <row r="70" spans="1:16">
      <c r="A70" s="24"/>
      <c r="B70" s="20"/>
      <c r="C70" s="33"/>
      <c r="D70" s="33"/>
      <c r="E70" s="33"/>
      <c r="F70" s="33"/>
      <c r="G70" s="33"/>
      <c r="H70" s="33"/>
      <c r="I70" s="33"/>
      <c r="J70" s="33"/>
      <c r="K70" s="81"/>
      <c r="L70" s="49"/>
      <c r="M70" s="53"/>
      <c r="O70" s="58"/>
    </row>
    <row r="71" spans="1:16">
      <c r="A71" s="23">
        <v>2</v>
      </c>
      <c r="B71" s="23" t="s">
        <v>11</v>
      </c>
      <c r="C71" s="33"/>
      <c r="D71" s="33"/>
      <c r="E71" s="33"/>
      <c r="F71" s="33"/>
      <c r="G71" s="33"/>
      <c r="H71" s="33"/>
      <c r="I71" s="33"/>
      <c r="J71" s="33"/>
      <c r="K71" s="83"/>
      <c r="L71" s="49"/>
      <c r="M71" s="53"/>
      <c r="O71" s="58"/>
    </row>
    <row r="72" spans="1:16">
      <c r="A72" s="24">
        <v>211</v>
      </c>
      <c r="B72" s="20" t="s">
        <v>23</v>
      </c>
      <c r="C72" s="33">
        <v>111400</v>
      </c>
      <c r="D72" s="33"/>
      <c r="E72" s="33"/>
      <c r="F72" s="33"/>
      <c r="G72" s="33"/>
      <c r="H72" s="33"/>
      <c r="I72" s="33"/>
      <c r="J72" s="33">
        <f t="shared" ref="J72:J97" si="6">C72+D72-E72+F72-G72+H72-I72</f>
        <v>111400</v>
      </c>
      <c r="K72" s="49">
        <v>19482.25</v>
      </c>
      <c r="L72" s="49">
        <f t="shared" ref="L72:L97" si="7">J72-K72</f>
        <v>91917.75</v>
      </c>
      <c r="M72" s="53">
        <f t="shared" ref="M72:M97" si="8">K72/$K$114</f>
        <v>1.3050704336778074E-2</v>
      </c>
      <c r="O72" s="58"/>
    </row>
    <row r="73" spans="1:16" hidden="1">
      <c r="A73" s="120">
        <v>219</v>
      </c>
      <c r="B73" s="20" t="s">
        <v>24</v>
      </c>
      <c r="C73" s="33">
        <v>0</v>
      </c>
      <c r="D73" s="33"/>
      <c r="E73" s="33"/>
      <c r="F73" s="33"/>
      <c r="G73" s="33"/>
      <c r="H73" s="33"/>
      <c r="I73" s="33"/>
      <c r="J73" s="33">
        <f t="shared" si="6"/>
        <v>0</v>
      </c>
      <c r="K73" s="49"/>
      <c r="L73" s="49">
        <f t="shared" si="7"/>
        <v>0</v>
      </c>
      <c r="M73" s="53">
        <f t="shared" si="8"/>
        <v>0</v>
      </c>
      <c r="O73" s="58"/>
    </row>
    <row r="74" spans="1:16">
      <c r="A74" s="24">
        <v>232</v>
      </c>
      <c r="B74" s="20" t="s">
        <v>57</v>
      </c>
      <c r="C74" s="33">
        <v>1080</v>
      </c>
      <c r="D74" s="33"/>
      <c r="E74" s="33"/>
      <c r="F74" s="33"/>
      <c r="G74" s="33"/>
      <c r="H74" s="33"/>
      <c r="I74" s="33"/>
      <c r="J74" s="33">
        <f t="shared" si="6"/>
        <v>1080</v>
      </c>
      <c r="K74" s="49">
        <v>300</v>
      </c>
      <c r="L74" s="49">
        <f t="shared" si="7"/>
        <v>780</v>
      </c>
      <c r="M74" s="53">
        <f t="shared" si="8"/>
        <v>2.0096299457369771E-4</v>
      </c>
      <c r="O74" s="58"/>
    </row>
    <row r="75" spans="1:16">
      <c r="A75" s="24">
        <v>233</v>
      </c>
      <c r="B75" s="20" t="s">
        <v>70</v>
      </c>
      <c r="C75" s="33">
        <v>58000</v>
      </c>
      <c r="D75" s="33"/>
      <c r="E75" s="33"/>
      <c r="F75" s="33"/>
      <c r="G75" s="33"/>
      <c r="H75" s="33"/>
      <c r="I75" s="33"/>
      <c r="J75" s="33">
        <f t="shared" si="6"/>
        <v>58000</v>
      </c>
      <c r="K75" s="49">
        <v>0</v>
      </c>
      <c r="L75" s="49">
        <f t="shared" si="7"/>
        <v>58000</v>
      </c>
      <c r="M75" s="53">
        <f t="shared" si="8"/>
        <v>0</v>
      </c>
      <c r="O75" s="58"/>
      <c r="P75" s="87"/>
    </row>
    <row r="76" spans="1:16">
      <c r="A76" s="24">
        <v>241</v>
      </c>
      <c r="B76" s="20" t="s">
        <v>58</v>
      </c>
      <c r="C76" s="33">
        <v>6000</v>
      </c>
      <c r="D76" s="33"/>
      <c r="E76" s="33"/>
      <c r="F76" s="33"/>
      <c r="G76" s="33"/>
      <c r="H76" s="33"/>
      <c r="I76" s="33"/>
      <c r="J76" s="33">
        <f t="shared" si="6"/>
        <v>6000</v>
      </c>
      <c r="K76" s="49">
        <v>1004.9</v>
      </c>
      <c r="L76" s="49">
        <f t="shared" si="7"/>
        <v>4995.1000000000004</v>
      </c>
      <c r="M76" s="53">
        <f t="shared" si="8"/>
        <v>6.7315904415702938E-4</v>
      </c>
      <c r="O76" s="58"/>
      <c r="P76" s="87"/>
    </row>
    <row r="77" spans="1:16">
      <c r="A77" s="24">
        <v>243</v>
      </c>
      <c r="B77" s="20" t="s">
        <v>43</v>
      </c>
      <c r="C77" s="33">
        <v>1100</v>
      </c>
      <c r="D77" s="33"/>
      <c r="E77" s="33"/>
      <c r="F77" s="33"/>
      <c r="G77" s="33"/>
      <c r="H77" s="33"/>
      <c r="I77" s="33"/>
      <c r="J77" s="33">
        <f t="shared" si="6"/>
        <v>1100</v>
      </c>
      <c r="K77" s="49">
        <v>301</v>
      </c>
      <c r="L77" s="49">
        <f t="shared" si="7"/>
        <v>799</v>
      </c>
      <c r="M77" s="53">
        <f t="shared" si="8"/>
        <v>2.016328712222767E-4</v>
      </c>
      <c r="O77" s="58"/>
    </row>
    <row r="78" spans="1:16">
      <c r="A78" s="24">
        <v>244</v>
      </c>
      <c r="B78" s="20" t="s">
        <v>44</v>
      </c>
      <c r="C78" s="33">
        <v>2255</v>
      </c>
      <c r="D78" s="33"/>
      <c r="E78" s="33"/>
      <c r="F78" s="33"/>
      <c r="G78" s="33"/>
      <c r="H78" s="33"/>
      <c r="I78" s="33"/>
      <c r="J78" s="33">
        <f t="shared" si="6"/>
        <v>2255</v>
      </c>
      <c r="K78" s="49">
        <v>425.2</v>
      </c>
      <c r="L78" s="49">
        <f t="shared" si="7"/>
        <v>1829.8</v>
      </c>
      <c r="M78" s="53">
        <f t="shared" si="8"/>
        <v>2.8483155097578755E-4</v>
      </c>
      <c r="O78" s="58"/>
    </row>
    <row r="79" spans="1:16">
      <c r="A79" s="24">
        <v>245</v>
      </c>
      <c r="B79" s="20" t="s">
        <v>45</v>
      </c>
      <c r="C79" s="33">
        <v>1300</v>
      </c>
      <c r="D79" s="33"/>
      <c r="E79" s="33"/>
      <c r="F79" s="33"/>
      <c r="G79" s="33"/>
      <c r="H79" s="33"/>
      <c r="I79" s="33"/>
      <c r="J79" s="33">
        <f t="shared" si="6"/>
        <v>1300</v>
      </c>
      <c r="K79" s="49">
        <v>0</v>
      </c>
      <c r="L79" s="49">
        <f t="shared" si="7"/>
        <v>1300</v>
      </c>
      <c r="M79" s="53">
        <f t="shared" si="8"/>
        <v>0</v>
      </c>
      <c r="O79" s="58"/>
    </row>
    <row r="80" spans="1:16">
      <c r="A80" s="24">
        <v>253</v>
      </c>
      <c r="B80" s="20" t="s">
        <v>37</v>
      </c>
      <c r="C80" s="33">
        <v>7500</v>
      </c>
      <c r="D80" s="33"/>
      <c r="E80" s="33"/>
      <c r="F80" s="33"/>
      <c r="G80" s="33"/>
      <c r="H80" s="33"/>
      <c r="I80" s="33"/>
      <c r="J80" s="33">
        <f t="shared" si="6"/>
        <v>7500</v>
      </c>
      <c r="K80" s="49">
        <v>0</v>
      </c>
      <c r="L80" s="49">
        <f t="shared" si="7"/>
        <v>7500</v>
      </c>
      <c r="M80" s="53">
        <f t="shared" si="8"/>
        <v>0</v>
      </c>
      <c r="O80" s="58"/>
    </row>
    <row r="81" spans="1:15">
      <c r="A81" s="24">
        <v>254</v>
      </c>
      <c r="B81" s="20" t="s">
        <v>46</v>
      </c>
      <c r="C81" s="33">
        <v>750</v>
      </c>
      <c r="D81" s="33"/>
      <c r="E81" s="33"/>
      <c r="F81" s="33"/>
      <c r="G81" s="33"/>
      <c r="H81" s="33"/>
      <c r="I81" s="33"/>
      <c r="J81" s="33">
        <f t="shared" si="6"/>
        <v>750</v>
      </c>
      <c r="K81" s="49">
        <v>270</v>
      </c>
      <c r="L81" s="49">
        <f t="shared" si="7"/>
        <v>480</v>
      </c>
      <c r="M81" s="53">
        <f t="shared" si="8"/>
        <v>1.8086669511632795E-4</v>
      </c>
      <c r="O81" s="58"/>
    </row>
    <row r="82" spans="1:15">
      <c r="A82" s="24">
        <v>262</v>
      </c>
      <c r="B82" s="20" t="s">
        <v>59</v>
      </c>
      <c r="C82" s="33">
        <v>9770</v>
      </c>
      <c r="D82" s="33"/>
      <c r="E82" s="33"/>
      <c r="F82" s="33"/>
      <c r="G82" s="33"/>
      <c r="H82" s="33"/>
      <c r="I82" s="33"/>
      <c r="J82" s="33">
        <f t="shared" si="6"/>
        <v>9770</v>
      </c>
      <c r="K82" s="49">
        <v>3493.96</v>
      </c>
      <c r="L82" s="49">
        <f t="shared" si="7"/>
        <v>6276.04</v>
      </c>
      <c r="M82" s="53">
        <f t="shared" si="8"/>
        <v>2.3405222150690561E-3</v>
      </c>
      <c r="O82" s="58"/>
    </row>
    <row r="83" spans="1:15">
      <c r="A83" s="24">
        <v>266</v>
      </c>
      <c r="B83" s="20" t="s">
        <v>60</v>
      </c>
      <c r="C83" s="33">
        <v>600</v>
      </c>
      <c r="D83" s="33"/>
      <c r="E83" s="33"/>
      <c r="F83" s="33"/>
      <c r="G83" s="33"/>
      <c r="H83" s="33"/>
      <c r="I83" s="33"/>
      <c r="J83" s="33">
        <f t="shared" si="6"/>
        <v>600</v>
      </c>
      <c r="K83" s="49">
        <v>211.3</v>
      </c>
      <c r="L83" s="49">
        <f t="shared" si="7"/>
        <v>388.7</v>
      </c>
      <c r="M83" s="53">
        <f t="shared" si="8"/>
        <v>1.415449358447411E-4</v>
      </c>
      <c r="O83" s="58"/>
    </row>
    <row r="84" spans="1:15">
      <c r="A84" s="24">
        <v>267</v>
      </c>
      <c r="B84" s="20" t="s">
        <v>86</v>
      </c>
      <c r="C84" s="33">
        <v>22000</v>
      </c>
      <c r="D84" s="33"/>
      <c r="E84" s="33"/>
      <c r="F84" s="33"/>
      <c r="G84" s="33"/>
      <c r="H84" s="33"/>
      <c r="I84" s="33"/>
      <c r="J84" s="33">
        <f t="shared" si="6"/>
        <v>22000</v>
      </c>
      <c r="K84" s="49">
        <v>6602</v>
      </c>
      <c r="L84" s="49">
        <f t="shared" si="7"/>
        <v>15398</v>
      </c>
      <c r="M84" s="53">
        <f t="shared" si="8"/>
        <v>4.422525633918508E-3</v>
      </c>
      <c r="O84" s="58"/>
    </row>
    <row r="85" spans="1:15">
      <c r="A85" s="24">
        <v>268</v>
      </c>
      <c r="B85" s="20" t="s">
        <v>61</v>
      </c>
      <c r="C85" s="33">
        <v>794</v>
      </c>
      <c r="D85" s="33"/>
      <c r="E85" s="33"/>
      <c r="F85" s="33"/>
      <c r="G85" s="33"/>
      <c r="H85" s="33"/>
      <c r="I85" s="33"/>
      <c r="J85" s="33">
        <f t="shared" si="6"/>
        <v>794</v>
      </c>
      <c r="K85" s="49">
        <v>696.05000000000007</v>
      </c>
      <c r="L85" s="49">
        <f t="shared" si="7"/>
        <v>97.949999999999932</v>
      </c>
      <c r="M85" s="53">
        <f t="shared" si="8"/>
        <v>4.6626764124340768E-4</v>
      </c>
      <c r="O85" s="58"/>
    </row>
    <row r="86" spans="1:15">
      <c r="A86" s="24">
        <v>269</v>
      </c>
      <c r="B86" s="20" t="s">
        <v>62</v>
      </c>
      <c r="C86" s="33">
        <v>500</v>
      </c>
      <c r="D86" s="33"/>
      <c r="E86" s="33"/>
      <c r="F86" s="33"/>
      <c r="G86" s="33"/>
      <c r="H86" s="33"/>
      <c r="I86" s="33"/>
      <c r="J86" s="33">
        <f t="shared" si="6"/>
        <v>500</v>
      </c>
      <c r="K86" s="49">
        <v>450</v>
      </c>
      <c r="L86" s="49">
        <f t="shared" si="7"/>
        <v>50</v>
      </c>
      <c r="M86" s="53">
        <f t="shared" si="8"/>
        <v>3.0144449186054659E-4</v>
      </c>
      <c r="O86" s="58"/>
    </row>
    <row r="87" spans="1:15">
      <c r="A87" s="24">
        <v>271</v>
      </c>
      <c r="B87" s="20" t="s">
        <v>63</v>
      </c>
      <c r="C87" s="33">
        <v>160800</v>
      </c>
      <c r="D87" s="33"/>
      <c r="E87" s="33"/>
      <c r="F87" s="33"/>
      <c r="G87" s="33"/>
      <c r="H87" s="33"/>
      <c r="I87" s="33"/>
      <c r="J87" s="33">
        <f t="shared" si="6"/>
        <v>160800</v>
      </c>
      <c r="K87" s="49">
        <v>0</v>
      </c>
      <c r="L87" s="49">
        <f t="shared" si="7"/>
        <v>160800</v>
      </c>
      <c r="M87" s="53">
        <f t="shared" si="8"/>
        <v>0</v>
      </c>
      <c r="O87" s="58"/>
    </row>
    <row r="88" spans="1:15">
      <c r="A88" s="24">
        <v>283</v>
      </c>
      <c r="B88" s="20" t="s">
        <v>64</v>
      </c>
      <c r="C88" s="33">
        <v>1000</v>
      </c>
      <c r="D88" s="33"/>
      <c r="E88" s="33"/>
      <c r="F88" s="33"/>
      <c r="G88" s="33"/>
      <c r="H88" s="33"/>
      <c r="I88" s="33"/>
      <c r="J88" s="33">
        <f t="shared" si="6"/>
        <v>1000</v>
      </c>
      <c r="K88" s="49">
        <v>9</v>
      </c>
      <c r="L88" s="49">
        <f t="shared" si="7"/>
        <v>991</v>
      </c>
      <c r="M88" s="53">
        <f t="shared" si="8"/>
        <v>6.0288898372109318E-6</v>
      </c>
      <c r="O88" s="58"/>
    </row>
    <row r="89" spans="1:15">
      <c r="A89" s="24">
        <v>284</v>
      </c>
      <c r="B89" s="20" t="s">
        <v>47</v>
      </c>
      <c r="C89" s="33">
        <v>7500</v>
      </c>
      <c r="D89" s="33"/>
      <c r="E89" s="33"/>
      <c r="F89" s="33"/>
      <c r="G89" s="33"/>
      <c r="H89" s="33"/>
      <c r="I89" s="33"/>
      <c r="J89" s="33">
        <f t="shared" si="6"/>
        <v>7500</v>
      </c>
      <c r="K89" s="49">
        <v>0</v>
      </c>
      <c r="L89" s="49">
        <f t="shared" si="7"/>
        <v>7500</v>
      </c>
      <c r="M89" s="53">
        <f t="shared" si="8"/>
        <v>0</v>
      </c>
      <c r="O89" s="58"/>
    </row>
    <row r="90" spans="1:15">
      <c r="A90" s="24">
        <v>285</v>
      </c>
      <c r="B90" s="20" t="s">
        <v>113</v>
      </c>
      <c r="C90" s="33">
        <v>807000</v>
      </c>
      <c r="D90" s="33"/>
      <c r="E90" s="33"/>
      <c r="F90" s="33"/>
      <c r="G90" s="33"/>
      <c r="H90" s="33"/>
      <c r="I90" s="33"/>
      <c r="J90" s="33">
        <f t="shared" si="6"/>
        <v>807000</v>
      </c>
      <c r="K90" s="49">
        <v>0</v>
      </c>
      <c r="L90" s="49">
        <f t="shared" si="7"/>
        <v>807000</v>
      </c>
      <c r="M90" s="53">
        <f t="shared" si="8"/>
        <v>0</v>
      </c>
      <c r="O90" s="58"/>
    </row>
    <row r="91" spans="1:15">
      <c r="A91" s="24">
        <v>291</v>
      </c>
      <c r="B91" s="20" t="s">
        <v>65</v>
      </c>
      <c r="C91" s="33">
        <v>9000</v>
      </c>
      <c r="D91" s="33"/>
      <c r="E91" s="33"/>
      <c r="F91" s="33"/>
      <c r="G91" s="33"/>
      <c r="H91" s="33"/>
      <c r="I91" s="33"/>
      <c r="J91" s="33">
        <f t="shared" si="6"/>
        <v>9000</v>
      </c>
      <c r="K91" s="49">
        <v>1014.79</v>
      </c>
      <c r="L91" s="49">
        <f t="shared" si="7"/>
        <v>7985.21</v>
      </c>
      <c r="M91" s="53">
        <f t="shared" si="8"/>
        <v>6.7978412421147564E-4</v>
      </c>
      <c r="O91" s="58"/>
    </row>
    <row r="92" spans="1:15">
      <c r="A92" s="24">
        <v>292</v>
      </c>
      <c r="B92" s="20" t="s">
        <v>66</v>
      </c>
      <c r="C92" s="33">
        <v>1800</v>
      </c>
      <c r="D92" s="33"/>
      <c r="E92" s="33"/>
      <c r="F92" s="33"/>
      <c r="G92" s="33"/>
      <c r="H92" s="33"/>
      <c r="I92" s="33"/>
      <c r="J92" s="33">
        <f t="shared" si="6"/>
        <v>1800</v>
      </c>
      <c r="K92" s="49">
        <v>475.5</v>
      </c>
      <c r="L92" s="49">
        <f t="shared" si="7"/>
        <v>1324.5</v>
      </c>
      <c r="M92" s="53">
        <f t="shared" si="8"/>
        <v>3.1852634639931089E-4</v>
      </c>
      <c r="O92" s="58"/>
    </row>
    <row r="93" spans="1:15">
      <c r="A93" s="24">
        <v>294</v>
      </c>
      <c r="B93" s="20" t="s">
        <v>67</v>
      </c>
      <c r="C93" s="33">
        <v>140250</v>
      </c>
      <c r="D93" s="43"/>
      <c r="E93" s="43"/>
      <c r="F93" s="33"/>
      <c r="G93" s="33"/>
      <c r="H93" s="33"/>
      <c r="I93" s="33"/>
      <c r="J93" s="33">
        <f t="shared" si="6"/>
        <v>140250</v>
      </c>
      <c r="K93" s="49">
        <v>32880</v>
      </c>
      <c r="L93" s="49">
        <f t="shared" si="7"/>
        <v>107370</v>
      </c>
      <c r="M93" s="53">
        <f t="shared" si="8"/>
        <v>2.2025544205277268E-2</v>
      </c>
      <c r="O93" s="58"/>
    </row>
    <row r="94" spans="1:15">
      <c r="A94" s="24">
        <v>296</v>
      </c>
      <c r="B94" s="20" t="s">
        <v>101</v>
      </c>
      <c r="C94" s="33">
        <v>500</v>
      </c>
      <c r="D94" s="33"/>
      <c r="E94" s="33"/>
      <c r="F94" s="33"/>
      <c r="G94" s="33"/>
      <c r="H94" s="33"/>
      <c r="I94" s="33"/>
      <c r="J94" s="33">
        <f t="shared" si="6"/>
        <v>500</v>
      </c>
      <c r="K94" s="49">
        <v>0</v>
      </c>
      <c r="L94" s="49">
        <f t="shared" si="7"/>
        <v>500</v>
      </c>
      <c r="M94" s="53">
        <f t="shared" si="8"/>
        <v>0</v>
      </c>
      <c r="O94" s="58"/>
    </row>
    <row r="95" spans="1:15">
      <c r="A95" s="24">
        <v>297</v>
      </c>
      <c r="B95" s="20" t="s">
        <v>68</v>
      </c>
      <c r="C95" s="33">
        <v>1000</v>
      </c>
      <c r="D95" s="33"/>
      <c r="E95" s="33"/>
      <c r="F95" s="33"/>
      <c r="G95" s="33"/>
      <c r="H95" s="33"/>
      <c r="I95" s="33"/>
      <c r="J95" s="33">
        <f t="shared" si="6"/>
        <v>1000</v>
      </c>
      <c r="K95" s="49">
        <v>451.2</v>
      </c>
      <c r="L95" s="49">
        <f t="shared" si="7"/>
        <v>548.79999999999995</v>
      </c>
      <c r="M95" s="53">
        <f t="shared" si="8"/>
        <v>3.0224834383884137E-4</v>
      </c>
      <c r="O95" s="58"/>
    </row>
    <row r="96" spans="1:15">
      <c r="A96" s="24">
        <v>298</v>
      </c>
      <c r="B96" s="20" t="s">
        <v>25</v>
      </c>
      <c r="C96" s="33">
        <v>85460</v>
      </c>
      <c r="D96" s="43"/>
      <c r="E96" s="43"/>
      <c r="F96" s="33"/>
      <c r="G96" s="33"/>
      <c r="H96" s="33"/>
      <c r="I96" s="33"/>
      <c r="J96" s="33">
        <f t="shared" si="6"/>
        <v>85460</v>
      </c>
      <c r="K96" s="49">
        <v>3776.05</v>
      </c>
      <c r="L96" s="49">
        <f t="shared" si="7"/>
        <v>81683.95</v>
      </c>
      <c r="M96" s="53">
        <f t="shared" si="8"/>
        <v>2.5294877188667044E-3</v>
      </c>
      <c r="O96" s="58"/>
    </row>
    <row r="97" spans="1:15">
      <c r="A97" s="24">
        <v>299</v>
      </c>
      <c r="B97" s="20" t="s">
        <v>69</v>
      </c>
      <c r="C97" s="33">
        <v>12000</v>
      </c>
      <c r="D97" s="43"/>
      <c r="E97" s="43"/>
      <c r="F97" s="33"/>
      <c r="G97" s="33"/>
      <c r="H97" s="33"/>
      <c r="I97" s="33"/>
      <c r="J97" s="33">
        <f t="shared" si="6"/>
        <v>12000</v>
      </c>
      <c r="K97" s="49">
        <v>1672.95</v>
      </c>
      <c r="L97" s="49">
        <f t="shared" si="7"/>
        <v>10327.049999999999</v>
      </c>
      <c r="M97" s="53">
        <f t="shared" si="8"/>
        <v>1.1206701392402253E-3</v>
      </c>
      <c r="O97" s="58"/>
    </row>
    <row r="98" spans="1:15">
      <c r="A98" s="24"/>
      <c r="B98" s="20"/>
      <c r="C98" s="33"/>
      <c r="D98" s="43"/>
      <c r="E98" s="43"/>
      <c r="F98" s="33"/>
      <c r="G98" s="33"/>
      <c r="H98" s="33"/>
      <c r="I98" s="33"/>
      <c r="J98" s="33"/>
      <c r="K98" s="81"/>
      <c r="L98" s="49"/>
      <c r="M98" s="53"/>
      <c r="O98" s="58"/>
    </row>
    <row r="99" spans="1:15">
      <c r="A99" s="23">
        <v>3</v>
      </c>
      <c r="B99" s="23" t="s">
        <v>129</v>
      </c>
      <c r="C99" s="33"/>
      <c r="D99" s="33"/>
      <c r="E99" s="33"/>
      <c r="F99" s="33"/>
      <c r="G99" s="33"/>
      <c r="H99" s="33"/>
      <c r="I99" s="33"/>
      <c r="J99" s="33"/>
      <c r="K99" s="83"/>
      <c r="L99" s="49"/>
      <c r="M99" s="53"/>
      <c r="O99" s="58"/>
    </row>
    <row r="100" spans="1:15">
      <c r="A100" s="24">
        <v>322</v>
      </c>
      <c r="B100" s="20" t="s">
        <v>83</v>
      </c>
      <c r="C100" s="33">
        <v>18000</v>
      </c>
      <c r="D100" s="33"/>
      <c r="E100" s="33"/>
      <c r="F100" s="33"/>
      <c r="G100" s="33"/>
      <c r="H100" s="33"/>
      <c r="I100" s="33"/>
      <c r="J100" s="33">
        <f t="shared" ref="J100:J105" si="9">C100+D100-E100+F100-G100+H100-I100</f>
        <v>18000</v>
      </c>
      <c r="K100" s="49">
        <v>0</v>
      </c>
      <c r="L100" s="49">
        <f t="shared" ref="L100:L105" si="10">J100-K100</f>
        <v>18000</v>
      </c>
      <c r="M100" s="53">
        <f t="shared" ref="M100:M105" si="11">K100/$K$114</f>
        <v>0</v>
      </c>
      <c r="O100" s="58"/>
    </row>
    <row r="101" spans="1:15" hidden="1">
      <c r="A101" s="120">
        <v>323</v>
      </c>
      <c r="B101" s="20" t="s">
        <v>119</v>
      </c>
      <c r="C101" s="33">
        <v>0</v>
      </c>
      <c r="D101" s="33"/>
      <c r="E101" s="33"/>
      <c r="F101" s="33"/>
      <c r="G101" s="33"/>
      <c r="H101" s="33"/>
      <c r="I101" s="33"/>
      <c r="J101" s="33">
        <f t="shared" si="9"/>
        <v>0</v>
      </c>
      <c r="K101" s="49"/>
      <c r="L101" s="49">
        <f t="shared" si="10"/>
        <v>0</v>
      </c>
      <c r="M101" s="53">
        <f t="shared" si="11"/>
        <v>0</v>
      </c>
    </row>
    <row r="102" spans="1:15">
      <c r="A102" s="24">
        <v>324</v>
      </c>
      <c r="B102" s="20" t="s">
        <v>120</v>
      </c>
      <c r="C102" s="33">
        <v>2147922.54</v>
      </c>
      <c r="D102" s="33"/>
      <c r="E102" s="33"/>
      <c r="F102" s="33"/>
      <c r="G102" s="33"/>
      <c r="H102" s="33"/>
      <c r="I102" s="33"/>
      <c r="J102" s="33">
        <f t="shared" si="9"/>
        <v>2147922.54</v>
      </c>
      <c r="K102" s="49">
        <v>89975</v>
      </c>
      <c r="L102" s="49">
        <f t="shared" si="10"/>
        <v>2057947.54</v>
      </c>
      <c r="M102" s="53">
        <f t="shared" si="11"/>
        <v>6.0272151455894839E-2</v>
      </c>
    </row>
    <row r="103" spans="1:15">
      <c r="A103" s="24">
        <v>328</v>
      </c>
      <c r="B103" s="20" t="s">
        <v>84</v>
      </c>
      <c r="C103" s="33">
        <v>7500</v>
      </c>
      <c r="D103" s="33"/>
      <c r="E103" s="33"/>
      <c r="F103" s="33"/>
      <c r="G103" s="33"/>
      <c r="H103" s="33"/>
      <c r="I103" s="33"/>
      <c r="J103" s="33">
        <f t="shared" si="9"/>
        <v>7500</v>
      </c>
      <c r="K103" s="49">
        <v>0</v>
      </c>
      <c r="L103" s="49">
        <f t="shared" si="10"/>
        <v>7500</v>
      </c>
      <c r="M103" s="53">
        <f t="shared" si="11"/>
        <v>0</v>
      </c>
    </row>
    <row r="104" spans="1:15">
      <c r="A104" s="24">
        <v>329</v>
      </c>
      <c r="B104" s="20" t="s">
        <v>85</v>
      </c>
      <c r="C104" s="33">
        <v>10500</v>
      </c>
      <c r="D104" s="33"/>
      <c r="E104" s="33"/>
      <c r="F104" s="33"/>
      <c r="G104" s="33"/>
      <c r="H104" s="33"/>
      <c r="I104" s="33"/>
      <c r="J104" s="33">
        <f t="shared" si="9"/>
        <v>10500</v>
      </c>
      <c r="K104" s="49">
        <v>0</v>
      </c>
      <c r="L104" s="49">
        <f t="shared" si="10"/>
        <v>10500</v>
      </c>
      <c r="M104" s="53">
        <f t="shared" si="11"/>
        <v>0</v>
      </c>
    </row>
    <row r="105" spans="1:15">
      <c r="A105" s="24">
        <v>332</v>
      </c>
      <c r="B105" s="20" t="s">
        <v>140</v>
      </c>
      <c r="C105" s="33">
        <v>2388358.86</v>
      </c>
      <c r="D105" s="33"/>
      <c r="E105" s="33"/>
      <c r="F105" s="33"/>
      <c r="G105" s="33"/>
      <c r="H105" s="33"/>
      <c r="I105" s="33"/>
      <c r="J105" s="33">
        <f t="shared" si="9"/>
        <v>2388358.86</v>
      </c>
      <c r="K105" s="49">
        <v>0</v>
      </c>
      <c r="L105" s="49">
        <f t="shared" si="10"/>
        <v>2388358.86</v>
      </c>
      <c r="M105" s="53">
        <f t="shared" si="11"/>
        <v>0</v>
      </c>
    </row>
    <row r="106" spans="1:15">
      <c r="A106" s="24"/>
      <c r="B106" s="20"/>
      <c r="C106" s="33"/>
      <c r="D106" s="33"/>
      <c r="E106" s="33"/>
      <c r="F106" s="33"/>
      <c r="G106" s="33"/>
      <c r="H106" s="33"/>
      <c r="I106" s="33"/>
      <c r="J106" s="33"/>
      <c r="K106" s="81"/>
      <c r="L106" s="49"/>
      <c r="M106" s="53"/>
      <c r="O106" s="12"/>
    </row>
    <row r="107" spans="1:15">
      <c r="A107" s="23">
        <v>4</v>
      </c>
      <c r="B107" s="23" t="s">
        <v>12</v>
      </c>
      <c r="C107" s="33"/>
      <c r="D107" s="33"/>
      <c r="E107" s="33"/>
      <c r="F107" s="33"/>
      <c r="G107" s="33"/>
      <c r="H107" s="33"/>
      <c r="I107" s="33"/>
      <c r="J107" s="33"/>
      <c r="K107" s="81"/>
      <c r="L107" s="49"/>
      <c r="M107" s="53"/>
      <c r="O107" s="12"/>
    </row>
    <row r="108" spans="1:15">
      <c r="A108" s="25">
        <v>413</v>
      </c>
      <c r="B108" s="26" t="s">
        <v>72</v>
      </c>
      <c r="C108" s="33">
        <v>20750</v>
      </c>
      <c r="D108" s="33"/>
      <c r="E108" s="33"/>
      <c r="F108" s="33"/>
      <c r="G108" s="33"/>
      <c r="H108" s="33"/>
      <c r="I108" s="33"/>
      <c r="J108" s="33">
        <f t="shared" ref="J108:J112" si="12">C108+D108-E108+F108-G108+H108-I108</f>
        <v>20750</v>
      </c>
      <c r="K108" s="49">
        <v>0</v>
      </c>
      <c r="L108" s="49">
        <f t="shared" ref="L108:L112" si="13">J108-K108</f>
        <v>20750</v>
      </c>
      <c r="M108" s="53">
        <f>K108/$K$114</f>
        <v>0</v>
      </c>
      <c r="O108" s="12"/>
    </row>
    <row r="109" spans="1:15">
      <c r="A109" s="25">
        <v>415</v>
      </c>
      <c r="B109" s="26" t="s">
        <v>73</v>
      </c>
      <c r="C109" s="33">
        <v>7600</v>
      </c>
      <c r="D109" s="33"/>
      <c r="E109" s="33"/>
      <c r="F109" s="33"/>
      <c r="G109" s="33"/>
      <c r="H109" s="33"/>
      <c r="I109" s="33"/>
      <c r="J109" s="33">
        <f t="shared" si="12"/>
        <v>7600</v>
      </c>
      <c r="K109" s="49">
        <v>0</v>
      </c>
      <c r="L109" s="49">
        <f t="shared" si="13"/>
        <v>7600</v>
      </c>
      <c r="M109" s="53">
        <f>K109/$K$114</f>
        <v>0</v>
      </c>
      <c r="O109" s="12"/>
    </row>
    <row r="110" spans="1:15">
      <c r="A110" s="25">
        <v>419</v>
      </c>
      <c r="B110" s="26" t="s">
        <v>74</v>
      </c>
      <c r="C110" s="33">
        <v>19200</v>
      </c>
      <c r="D110" s="33"/>
      <c r="E110" s="33"/>
      <c r="F110" s="33"/>
      <c r="G110" s="33"/>
      <c r="H110" s="33"/>
      <c r="I110" s="33"/>
      <c r="J110" s="33">
        <f t="shared" si="12"/>
        <v>19200</v>
      </c>
      <c r="K110" s="49">
        <v>4200</v>
      </c>
      <c r="L110" s="49">
        <f t="shared" si="13"/>
        <v>15000</v>
      </c>
      <c r="M110" s="53">
        <f>K110/$K$114</f>
        <v>2.8134819240317678E-3</v>
      </c>
      <c r="O110" s="12"/>
    </row>
    <row r="111" spans="1:15">
      <c r="A111" s="25">
        <v>453</v>
      </c>
      <c r="B111" s="26" t="s">
        <v>75</v>
      </c>
      <c r="C111" s="33">
        <v>255000</v>
      </c>
      <c r="D111" s="33"/>
      <c r="E111" s="33"/>
      <c r="F111" s="33"/>
      <c r="G111" s="33"/>
      <c r="H111" s="33"/>
      <c r="I111" s="33"/>
      <c r="J111" s="33">
        <f t="shared" si="12"/>
        <v>255000</v>
      </c>
      <c r="K111" s="49">
        <v>31078.82</v>
      </c>
      <c r="L111" s="49">
        <f t="shared" si="13"/>
        <v>223921.18</v>
      </c>
      <c r="M111" s="53">
        <f>K111/$K$114</f>
        <v>2.0818975783389759E-2</v>
      </c>
      <c r="O111" s="12"/>
    </row>
    <row r="112" spans="1:15">
      <c r="A112" s="25">
        <v>472</v>
      </c>
      <c r="B112" s="26" t="s">
        <v>105</v>
      </c>
      <c r="C112" s="33">
        <v>8200</v>
      </c>
      <c r="D112" s="33"/>
      <c r="E112" s="33"/>
      <c r="F112" s="33"/>
      <c r="G112" s="33"/>
      <c r="H112" s="33"/>
      <c r="I112" s="33"/>
      <c r="J112" s="33">
        <f t="shared" si="12"/>
        <v>8200</v>
      </c>
      <c r="K112" s="49">
        <v>4628.7699999999995</v>
      </c>
      <c r="L112" s="49">
        <f t="shared" si="13"/>
        <v>3571.2300000000005</v>
      </c>
      <c r="M112" s="53">
        <f>K112/$K$114</f>
        <v>3.1007049346429821E-3</v>
      </c>
      <c r="O112" s="12"/>
    </row>
    <row r="113" spans="1:15" ht="20.25" customHeight="1" thickBot="1">
      <c r="A113" s="22"/>
      <c r="B113" s="64"/>
      <c r="C113" s="18"/>
      <c r="D113" s="33"/>
      <c r="E113" s="33"/>
      <c r="F113" s="44"/>
      <c r="G113" s="44"/>
      <c r="H113" s="44"/>
      <c r="I113" s="44"/>
      <c r="J113" s="18"/>
      <c r="K113" s="84"/>
      <c r="L113" s="50"/>
      <c r="M113" s="53"/>
      <c r="O113" s="12"/>
    </row>
    <row r="114" spans="1:15" ht="20.25" customHeight="1" thickBot="1">
      <c r="A114" s="65"/>
      <c r="B114" s="8" t="s">
        <v>7</v>
      </c>
      <c r="C114" s="94">
        <f>SUM(C21:C113)</f>
        <v>10577202.25</v>
      </c>
      <c r="D114" s="94">
        <f>SUM(D21:D113)</f>
        <v>0</v>
      </c>
      <c r="E114" s="94">
        <f>SUM(E21:E113)</f>
        <v>0</v>
      </c>
      <c r="F114" s="94">
        <f t="shared" ref="F114:L114" si="14">SUM(F21:F113)</f>
        <v>0</v>
      </c>
      <c r="G114" s="94">
        <f t="shared" si="14"/>
        <v>0</v>
      </c>
      <c r="H114" s="94">
        <f t="shared" si="14"/>
        <v>0</v>
      </c>
      <c r="I114" s="94">
        <f t="shared" si="14"/>
        <v>0</v>
      </c>
      <c r="J114" s="94">
        <f t="shared" si="14"/>
        <v>10577202.25</v>
      </c>
      <c r="K114" s="97">
        <f>ROUND((SUM(K21:K113)),2)</f>
        <v>1492812.15</v>
      </c>
      <c r="L114" s="94">
        <f t="shared" si="14"/>
        <v>9084390.0999999996</v>
      </c>
      <c r="M114" s="98">
        <f>K114/K114</f>
        <v>1</v>
      </c>
      <c r="O114" s="12"/>
    </row>
    <row r="115" spans="1:15" ht="20.25" customHeight="1">
      <c r="A115" s="66"/>
      <c r="B115" s="13"/>
      <c r="C115" s="14"/>
      <c r="D115" s="14"/>
      <c r="E115" s="14"/>
      <c r="F115" s="14"/>
      <c r="G115" s="27"/>
      <c r="H115" s="27"/>
      <c r="I115" s="14"/>
      <c r="J115" s="14"/>
      <c r="K115" s="85"/>
      <c r="L115" s="14"/>
      <c r="M115" s="15"/>
      <c r="O115" s="12"/>
    </row>
    <row r="116" spans="1:15" ht="20.25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85"/>
      <c r="L116" s="14"/>
      <c r="M116" s="15"/>
      <c r="O116" s="12"/>
    </row>
    <row r="117" spans="1:15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16"/>
      <c r="K117" s="86"/>
      <c r="L117" s="10"/>
      <c r="M117" s="11"/>
    </row>
    <row r="118" spans="1:15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16"/>
      <c r="K118" s="86"/>
      <c r="L118" s="10"/>
      <c r="M118" s="11"/>
    </row>
    <row r="119" spans="1:15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16"/>
      <c r="K119" s="86"/>
      <c r="L119" s="10"/>
      <c r="M119" s="11"/>
      <c r="O119" s="3"/>
    </row>
    <row r="120" spans="1:15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16"/>
      <c r="K120" s="86"/>
      <c r="L120" s="10"/>
      <c r="M120" s="11"/>
    </row>
    <row r="121" spans="1:15" s="12" customFormat="1">
      <c r="A121" s="105" t="s">
        <v>108</v>
      </c>
      <c r="B121" s="35"/>
      <c r="C121" s="101"/>
      <c r="D121" s="9"/>
      <c r="E121" s="9"/>
      <c r="G121" s="41"/>
      <c r="H121" s="41"/>
      <c r="I121" s="41"/>
      <c r="J121" s="16"/>
      <c r="K121" s="86"/>
      <c r="L121" s="10"/>
      <c r="M121" s="11"/>
    </row>
    <row r="122" spans="1:15" s="12" customFormat="1">
      <c r="A122" s="106" t="s">
        <v>136</v>
      </c>
      <c r="B122" s="36"/>
      <c r="C122" s="101">
        <v>656637.59</v>
      </c>
      <c r="D122" s="9"/>
      <c r="E122" s="67"/>
      <c r="G122" s="41"/>
      <c r="H122" s="41"/>
      <c r="I122" s="41"/>
      <c r="J122" s="16"/>
      <c r="K122" s="86"/>
      <c r="L122" s="10"/>
      <c r="M122" s="11"/>
      <c r="O122" s="3"/>
    </row>
    <row r="123" spans="1:15" s="12" customFormat="1">
      <c r="A123" s="106" t="s">
        <v>76</v>
      </c>
      <c r="B123" s="36"/>
      <c r="C123" s="101">
        <f>K18</f>
        <v>2207928.61</v>
      </c>
      <c r="D123" s="9"/>
      <c r="E123" s="67"/>
      <c r="G123" s="41"/>
      <c r="H123" s="41"/>
      <c r="I123" s="77"/>
      <c r="J123" s="16"/>
      <c r="K123" s="86"/>
      <c r="L123" s="10"/>
      <c r="M123" s="11"/>
      <c r="O123" s="3"/>
    </row>
    <row r="124" spans="1:15" s="12" customFormat="1">
      <c r="A124" s="106" t="s">
        <v>87</v>
      </c>
      <c r="B124" s="36"/>
      <c r="C124" s="122">
        <f>-K114</f>
        <v>-1492812.15</v>
      </c>
      <c r="D124" s="9"/>
      <c r="E124" s="67"/>
      <c r="G124" s="41"/>
      <c r="H124" s="41"/>
      <c r="I124" s="41"/>
      <c r="J124" s="16"/>
      <c r="K124" s="86"/>
      <c r="L124" s="10"/>
      <c r="M124" s="11"/>
      <c r="O124" s="3"/>
    </row>
    <row r="125" spans="1:15" s="12" customFormat="1" ht="18" customHeight="1">
      <c r="A125" s="107" t="s">
        <v>107</v>
      </c>
      <c r="B125" s="36"/>
      <c r="C125" s="119">
        <f>SUM(C122:C124)</f>
        <v>1371754.0499999998</v>
      </c>
      <c r="D125" s="68"/>
      <c r="E125" s="67"/>
      <c r="G125" s="41"/>
      <c r="H125" s="41"/>
      <c r="I125" s="41"/>
      <c r="J125" s="16"/>
      <c r="K125" s="86"/>
      <c r="L125" s="10"/>
      <c r="M125" s="11"/>
      <c r="O125" s="3"/>
    </row>
    <row r="126" spans="1:15" s="12" customFormat="1" ht="5.0999999999999996" customHeight="1">
      <c r="A126" s="106"/>
      <c r="B126" s="36"/>
      <c r="C126" s="101"/>
      <c r="D126" s="9"/>
      <c r="E126" s="9"/>
      <c r="G126" s="48"/>
      <c r="H126" s="48"/>
      <c r="I126" s="41"/>
      <c r="J126" s="16"/>
      <c r="K126" s="86"/>
      <c r="L126" s="10"/>
      <c r="M126" s="11"/>
      <c r="O126" s="3"/>
    </row>
    <row r="127" spans="1:15" s="12" customFormat="1" ht="5.0999999999999996" customHeight="1">
      <c r="A127" s="106"/>
      <c r="B127" s="36"/>
      <c r="C127" s="101"/>
      <c r="D127" s="9"/>
      <c r="E127" s="9"/>
      <c r="G127" s="41"/>
      <c r="H127" s="41"/>
      <c r="I127" s="41"/>
      <c r="J127" s="16"/>
      <c r="K127" s="86"/>
      <c r="L127" s="10"/>
      <c r="M127" s="11"/>
      <c r="O127" s="3"/>
    </row>
    <row r="128" spans="1:15" s="12" customFormat="1" ht="6.95" customHeight="1">
      <c r="A128" s="106"/>
      <c r="B128" s="36"/>
      <c r="C128" s="101"/>
      <c r="D128" s="9"/>
      <c r="E128" s="9"/>
      <c r="G128" s="41"/>
      <c r="H128" s="41"/>
      <c r="I128" s="41"/>
      <c r="J128" s="16"/>
      <c r="K128" s="86"/>
      <c r="L128" s="10"/>
      <c r="M128" s="11"/>
      <c r="O128" s="3"/>
    </row>
    <row r="129" spans="1:15" s="12" customFormat="1">
      <c r="A129" s="107" t="s">
        <v>157</v>
      </c>
      <c r="B129" s="39"/>
      <c r="C129" s="101">
        <f>C125+C126</f>
        <v>1371754.0499999998</v>
      </c>
      <c r="D129" s="69"/>
      <c r="G129" s="41"/>
      <c r="H129" s="41"/>
      <c r="I129" s="41"/>
      <c r="J129" s="16"/>
      <c r="K129" s="86"/>
      <c r="L129" s="10"/>
      <c r="M129" s="11"/>
      <c r="O129" s="3"/>
    </row>
    <row r="130" spans="1:15" s="12" customFormat="1" ht="6.95" customHeight="1" thickBot="1">
      <c r="A130" s="108"/>
      <c r="B130" s="38"/>
      <c r="C130" s="104"/>
      <c r="D130" s="69"/>
      <c r="G130" s="41"/>
      <c r="H130" s="41"/>
      <c r="I130" s="41"/>
      <c r="J130" s="16"/>
      <c r="K130" s="86"/>
      <c r="L130" s="10"/>
      <c r="M130" s="11"/>
      <c r="O130" s="3"/>
    </row>
    <row r="131" spans="1:15">
      <c r="A131" s="17"/>
      <c r="C131" s="45"/>
      <c r="D131" s="69"/>
      <c r="G131" s="45"/>
      <c r="H131" s="45"/>
      <c r="I131" s="45"/>
      <c r="J131" s="45"/>
      <c r="L131" s="45"/>
      <c r="M131" s="45"/>
    </row>
    <row r="132" spans="1:15">
      <c r="A132" s="17"/>
      <c r="B132" s="17"/>
      <c r="C132" s="45"/>
      <c r="D132" s="69"/>
      <c r="G132" s="45"/>
      <c r="H132" s="45"/>
      <c r="I132" s="45"/>
      <c r="J132" s="45"/>
      <c r="L132" s="45"/>
      <c r="M132" s="45"/>
    </row>
    <row r="133" spans="1:15">
      <c r="A133" s="13"/>
      <c r="B133" s="70" t="s">
        <v>158</v>
      </c>
      <c r="C133" s="123"/>
      <c r="D133" s="69"/>
      <c r="E133" s="40"/>
      <c r="G133" s="45"/>
      <c r="H133" s="45"/>
      <c r="J133" s="45"/>
      <c r="L133" s="45"/>
      <c r="M133" s="45"/>
    </row>
    <row r="134" spans="1:15">
      <c r="A134" s="13"/>
      <c r="B134" s="17"/>
      <c r="C134" s="45"/>
      <c r="D134" s="69"/>
      <c r="E134" s="45"/>
      <c r="F134" s="45"/>
      <c r="G134" s="45"/>
      <c r="H134" s="45"/>
      <c r="I134" s="45"/>
      <c r="J134" s="45"/>
      <c r="L134" s="45"/>
      <c r="M134" s="45"/>
    </row>
    <row r="135" spans="1:15">
      <c r="A135" s="13"/>
      <c r="B135" s="17"/>
      <c r="C135" s="45"/>
      <c r="D135" s="69"/>
      <c r="E135" s="45"/>
      <c r="F135" s="45"/>
      <c r="G135" s="45"/>
      <c r="H135" s="45"/>
      <c r="I135" s="45"/>
      <c r="J135" s="45"/>
      <c r="L135" s="45"/>
      <c r="M135" s="45"/>
    </row>
    <row r="136" spans="1:15">
      <c r="A136" s="13"/>
      <c r="B136" s="17"/>
      <c r="C136" s="45"/>
      <c r="D136" s="69"/>
      <c r="E136" s="45"/>
      <c r="F136" s="45"/>
      <c r="G136" s="45"/>
      <c r="H136" s="45"/>
      <c r="I136" s="45"/>
      <c r="J136" s="45"/>
      <c r="L136" s="45"/>
      <c r="M136" s="45"/>
    </row>
    <row r="137" spans="1:15">
      <c r="A137" s="13"/>
      <c r="B137" s="17"/>
      <c r="C137" s="45"/>
      <c r="E137" s="45"/>
      <c r="F137" s="45"/>
      <c r="G137" s="45"/>
      <c r="H137" s="45"/>
      <c r="I137" s="45"/>
      <c r="J137" s="45"/>
      <c r="L137" s="45"/>
      <c r="M137" s="45"/>
    </row>
    <row r="138" spans="1:15">
      <c r="A138" s="66"/>
      <c r="B138" s="17"/>
      <c r="C138" s="45"/>
      <c r="D138" s="16"/>
      <c r="E138" s="40"/>
      <c r="F138" s="40"/>
      <c r="G138" s="45"/>
      <c r="H138" s="45"/>
      <c r="I138" s="45"/>
      <c r="J138" s="45"/>
      <c r="L138" s="45"/>
      <c r="M138" s="45"/>
    </row>
    <row r="139" spans="1:15">
      <c r="A139" s="66"/>
      <c r="B139" s="45"/>
      <c r="C139" s="45"/>
      <c r="D139" s="45"/>
      <c r="E139" s="40"/>
      <c r="F139" s="40"/>
      <c r="G139" s="45"/>
      <c r="H139" s="45"/>
      <c r="I139" s="45"/>
      <c r="J139" s="45"/>
      <c r="L139" s="45"/>
      <c r="M139" s="45"/>
    </row>
    <row r="140" spans="1:15" ht="18.75">
      <c r="A140" s="66"/>
      <c r="B140" s="46" t="s">
        <v>124</v>
      </c>
      <c r="D140" s="112" t="s">
        <v>138</v>
      </c>
      <c r="E140" s="46"/>
      <c r="F140" s="46"/>
      <c r="I140" s="113" t="s">
        <v>127</v>
      </c>
      <c r="K140" s="88"/>
      <c r="L140" s="51"/>
      <c r="M140" s="46"/>
    </row>
    <row r="141" spans="1:15" s="115" customFormat="1" ht="15.75">
      <c r="A141" s="114"/>
      <c r="B141" s="56" t="s">
        <v>125</v>
      </c>
      <c r="D141" s="116" t="s">
        <v>126</v>
      </c>
      <c r="E141" s="56"/>
      <c r="F141" s="56"/>
      <c r="I141" s="117" t="s">
        <v>123</v>
      </c>
      <c r="K141" s="118"/>
      <c r="L141" s="56"/>
      <c r="M141" s="56"/>
    </row>
    <row r="142" spans="1:15" ht="18.75">
      <c r="A142" s="66"/>
      <c r="B142" s="47"/>
      <c r="C142" s="71"/>
      <c r="D142" s="51"/>
      <c r="E142" s="47"/>
      <c r="F142" s="47"/>
      <c r="G142" s="47"/>
      <c r="H142" s="47"/>
      <c r="I142" s="51"/>
      <c r="J142" s="71"/>
      <c r="K142" s="88"/>
      <c r="L142" s="47"/>
      <c r="M142" s="47"/>
    </row>
    <row r="143" spans="1:15" ht="18.75">
      <c r="A143" s="66"/>
      <c r="B143" s="47"/>
      <c r="C143" s="47"/>
      <c r="D143" s="47"/>
      <c r="F143" s="47"/>
      <c r="G143" s="47"/>
      <c r="H143" s="47"/>
      <c r="I143" s="112"/>
      <c r="J143" s="47"/>
      <c r="K143" s="88"/>
      <c r="M143" s="47"/>
    </row>
  </sheetData>
  <mergeCells count="3">
    <mergeCell ref="A6:A7"/>
    <mergeCell ref="B6:B7"/>
    <mergeCell ref="K6:K7"/>
  </mergeCells>
  <printOptions horizontalCentered="1"/>
  <pageMargins left="0" right="0" top="0.78740157480314965" bottom="0.86614173228346458" header="0.31496062992125984" footer="0.31496062992125984"/>
  <pageSetup scale="5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showGridLines="0" zoomScale="75" zoomScaleNormal="75" workbookViewId="0"/>
  </sheetViews>
  <sheetFormatPr baseColWidth="10" defaultColWidth="11.42578125" defaultRowHeight="18"/>
  <cols>
    <col min="1" max="1" width="10.7109375" style="3" customWidth="1"/>
    <col min="2" max="2" width="64.7109375" style="3" customWidth="1"/>
    <col min="3" max="3" width="19.5703125" style="3" customWidth="1"/>
    <col min="4" max="9" width="16.42578125" style="3" customWidth="1"/>
    <col min="10" max="10" width="19.28515625" style="3" customWidth="1"/>
    <col min="11" max="11" width="19.28515625" style="87" customWidth="1"/>
    <col min="12" max="12" width="19.28515625" style="3" customWidth="1"/>
    <col min="13" max="13" width="12.7109375" style="3" customWidth="1"/>
    <col min="14" max="14" width="7" style="3" customWidth="1"/>
    <col min="15" max="15" width="19.5703125" style="3" bestFit="1" customWidth="1"/>
    <col min="16" max="16" width="15.42578125" style="3" bestFit="1" customWidth="1"/>
    <col min="17" max="16384" width="11.42578125" style="3"/>
  </cols>
  <sheetData>
    <row r="1" spans="1:1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80"/>
      <c r="L1" s="42"/>
      <c r="M1" s="42"/>
    </row>
    <row r="2" spans="1:1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80"/>
      <c r="L2" s="42"/>
      <c r="M2" s="42"/>
    </row>
    <row r="3" spans="1:15">
      <c r="A3" s="42" t="s">
        <v>159</v>
      </c>
      <c r="B3" s="42"/>
      <c r="C3" s="42"/>
      <c r="D3" s="42"/>
      <c r="E3" s="42"/>
      <c r="F3" s="42"/>
      <c r="G3" s="42"/>
      <c r="H3" s="42"/>
      <c r="I3" s="42"/>
      <c r="J3" s="42"/>
      <c r="K3" s="80"/>
      <c r="L3" s="42"/>
      <c r="M3" s="42"/>
    </row>
    <row r="4" spans="1:15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80"/>
      <c r="L4" s="42"/>
      <c r="M4" s="42"/>
    </row>
    <row r="5" spans="1:15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80"/>
      <c r="L5" s="42"/>
      <c r="M5" s="42"/>
    </row>
    <row r="6" spans="1:15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1" t="s">
        <v>1</v>
      </c>
      <c r="K6" s="188" t="s">
        <v>2</v>
      </c>
      <c r="L6" s="2" t="s">
        <v>27</v>
      </c>
      <c r="M6" s="1" t="s">
        <v>29</v>
      </c>
    </row>
    <row r="7" spans="1:15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4" t="s">
        <v>4</v>
      </c>
      <c r="K7" s="189"/>
      <c r="L7" s="6" t="s">
        <v>28</v>
      </c>
      <c r="M7" s="7" t="s">
        <v>30</v>
      </c>
    </row>
    <row r="8" spans="1:15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81"/>
      <c r="L8" s="74"/>
      <c r="M8" s="43"/>
    </row>
    <row r="9" spans="1:15">
      <c r="A9" s="78"/>
      <c r="B9" s="79"/>
      <c r="C9" s="43"/>
      <c r="D9" s="43"/>
      <c r="E9" s="43"/>
      <c r="F9" s="43"/>
      <c r="G9" s="43"/>
      <c r="H9" s="43"/>
      <c r="I9" s="43"/>
      <c r="J9" s="43"/>
      <c r="K9" s="81"/>
      <c r="L9" s="74"/>
      <c r="M9" s="43"/>
    </row>
    <row r="10" spans="1:15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33">
        <f t="shared" ref="J10:J17" si="0">C10+D10-E10+F10-G10+H10-I10</f>
        <v>656637.59</v>
      </c>
      <c r="K10" s="49">
        <v>0</v>
      </c>
      <c r="L10" s="74">
        <f t="shared" ref="L10:L15" si="1">J10-K10+I10</f>
        <v>656637.59</v>
      </c>
      <c r="M10" s="57">
        <f>K10/K18</f>
        <v>0</v>
      </c>
    </row>
    <row r="11" spans="1:15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33">
        <f t="shared" si="0"/>
        <v>90000</v>
      </c>
      <c r="K11" s="49">
        <f>6885+7250+5010+5735+2005+6610+400+7470+800+3895</f>
        <v>46060</v>
      </c>
      <c r="L11" s="72">
        <f t="shared" si="1"/>
        <v>43940</v>
      </c>
      <c r="M11" s="57">
        <f>K11/K18</f>
        <v>1.8448059738133758E-2</v>
      </c>
    </row>
    <row r="12" spans="1:15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33">
        <f t="shared" si="0"/>
        <v>4000</v>
      </c>
      <c r="K12" s="49">
        <f>154.29+74.21+47.84+63.83+246.6</f>
        <v>586.77</v>
      </c>
      <c r="L12" s="72">
        <f t="shared" si="1"/>
        <v>3413.23</v>
      </c>
      <c r="M12" s="57">
        <f>K12/K18</f>
        <v>2.3501450309476216E-4</v>
      </c>
    </row>
    <row r="13" spans="1:15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33">
        <f t="shared" si="0"/>
        <v>2345924.88</v>
      </c>
      <c r="K13" s="49">
        <f>195493.74+40518.88+404398.5+199964.08+198363.1+3864.56</f>
        <v>1042602.86</v>
      </c>
      <c r="L13" s="72">
        <f t="shared" si="1"/>
        <v>1303322.02</v>
      </c>
      <c r="M13" s="57">
        <f>K13/K18</f>
        <v>0.41758575432976786</v>
      </c>
      <c r="O13" s="58"/>
    </row>
    <row r="14" spans="1:15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33">
        <f t="shared" si="0"/>
        <v>4496358.8600000003</v>
      </c>
      <c r="K14" s="49">
        <v>0</v>
      </c>
      <c r="L14" s="72">
        <f t="shared" si="1"/>
        <v>4496358.8600000003</v>
      </c>
      <c r="M14" s="57">
        <f>K14/K18</f>
        <v>0</v>
      </c>
      <c r="O14" s="58"/>
    </row>
    <row r="15" spans="1:15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33">
        <f t="shared" si="0"/>
        <v>2969280.92</v>
      </c>
      <c r="K15" s="49">
        <f>174488.09+436428.77+714931.38+46144.8+35496.86</f>
        <v>1407489.9000000001</v>
      </c>
      <c r="L15" s="74">
        <f t="shared" si="1"/>
        <v>1561791.0199999998</v>
      </c>
      <c r="M15" s="57">
        <v>0</v>
      </c>
      <c r="O15" s="58"/>
    </row>
    <row r="16" spans="1:15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33">
        <f>C16+D16-E16+F16-G16+H16-I16</f>
        <v>15000</v>
      </c>
      <c r="K16" s="49">
        <v>0</v>
      </c>
      <c r="L16" s="74">
        <f>J16-K16+I16</f>
        <v>15000</v>
      </c>
      <c r="M16" s="57">
        <v>0</v>
      </c>
      <c r="O16" s="58"/>
    </row>
    <row r="17" spans="1:15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33">
        <f t="shared" si="0"/>
        <v>0</v>
      </c>
      <c r="K17" s="49">
        <v>0</v>
      </c>
      <c r="L17" s="75">
        <f>-K17+I17</f>
        <v>0</v>
      </c>
      <c r="M17" s="61">
        <f>K17/K18</f>
        <v>0</v>
      </c>
      <c r="O17" s="58"/>
    </row>
    <row r="18" spans="1:15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5">
        <f>ROUND((SUM(J10:J17)),2)</f>
        <v>10577202.25</v>
      </c>
      <c r="K18" s="95">
        <f>ROUND((SUM(K10:K17)),2)</f>
        <v>2496739.5299999998</v>
      </c>
      <c r="L18" s="95">
        <f>ROUND((SUM(L10:L17)),2)</f>
        <v>8080462.7199999997</v>
      </c>
      <c r="M18" s="96">
        <f>SUM(M17:M17)</f>
        <v>0</v>
      </c>
      <c r="O18" s="58"/>
    </row>
    <row r="19" spans="1:15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82"/>
      <c r="L19" s="43"/>
      <c r="M19" s="43"/>
      <c r="O19" s="58"/>
    </row>
    <row r="20" spans="1:15">
      <c r="A20" s="78" t="s">
        <v>5</v>
      </c>
      <c r="B20" s="79" t="s">
        <v>102</v>
      </c>
      <c r="C20" s="43"/>
      <c r="D20" s="43"/>
      <c r="E20" s="43"/>
      <c r="F20" s="43"/>
      <c r="G20" s="43"/>
      <c r="H20" s="43"/>
      <c r="I20" s="43"/>
      <c r="J20" s="43"/>
      <c r="K20" s="82"/>
      <c r="L20" s="43"/>
      <c r="M20" s="43"/>
      <c r="O20" s="58"/>
    </row>
    <row r="21" spans="1:15">
      <c r="A21" s="23">
        <v>0</v>
      </c>
      <c r="B21" s="23" t="s">
        <v>9</v>
      </c>
      <c r="C21" s="33"/>
      <c r="D21" s="33"/>
      <c r="E21" s="33"/>
      <c r="F21" s="33"/>
      <c r="G21" s="33"/>
      <c r="H21" s="33"/>
      <c r="I21" s="33"/>
      <c r="J21" s="33"/>
      <c r="K21" s="81"/>
      <c r="L21" s="49"/>
      <c r="M21" s="53"/>
      <c r="O21" s="58"/>
    </row>
    <row r="22" spans="1:15">
      <c r="A22" s="19" t="s">
        <v>13</v>
      </c>
      <c r="B22" s="20" t="s">
        <v>79</v>
      </c>
      <c r="C22" s="33">
        <v>669886</v>
      </c>
      <c r="D22" s="33"/>
      <c r="E22" s="33"/>
      <c r="F22" s="33"/>
      <c r="G22" s="33"/>
      <c r="H22" s="33"/>
      <c r="I22" s="33"/>
      <c r="J22" s="33">
        <f t="shared" ref="J22:J69" si="2">C22+D22-E22+F22-G22+H22-I22</f>
        <v>669886</v>
      </c>
      <c r="K22" s="49">
        <v>251876.21999999997</v>
      </c>
      <c r="L22" s="49">
        <f>J22-K22</f>
        <v>418009.78</v>
      </c>
      <c r="M22" s="53">
        <f t="shared" ref="M22:M33" si="3">K22/$K$114</f>
        <v>0.11295738809180213</v>
      </c>
      <c r="O22" s="58"/>
    </row>
    <row r="23" spans="1:15">
      <c r="A23" s="19" t="s">
        <v>31</v>
      </c>
      <c r="B23" s="20" t="s">
        <v>32</v>
      </c>
      <c r="C23" s="33">
        <v>4500</v>
      </c>
      <c r="D23" s="33"/>
      <c r="E23" s="33"/>
      <c r="F23" s="33"/>
      <c r="G23" s="33"/>
      <c r="H23" s="33"/>
      <c r="I23" s="33"/>
      <c r="J23" s="33">
        <f t="shared" si="2"/>
        <v>4500</v>
      </c>
      <c r="K23" s="49">
        <v>1875</v>
      </c>
      <c r="L23" s="49">
        <f t="shared" ref="L23:L69" si="4">J23-K23</f>
        <v>2625</v>
      </c>
      <c r="M23" s="53">
        <f t="shared" si="3"/>
        <v>8.408697838649834E-4</v>
      </c>
      <c r="O23" s="58"/>
    </row>
    <row r="24" spans="1:15">
      <c r="A24" s="19" t="s">
        <v>14</v>
      </c>
      <c r="B24" s="20" t="s">
        <v>38</v>
      </c>
      <c r="C24" s="33">
        <v>112250</v>
      </c>
      <c r="D24" s="33"/>
      <c r="E24" s="33"/>
      <c r="F24" s="33"/>
      <c r="G24" s="33"/>
      <c r="H24" s="33"/>
      <c r="I24" s="33"/>
      <c r="J24" s="33">
        <f t="shared" si="2"/>
        <v>112250</v>
      </c>
      <c r="K24" s="49">
        <v>41000</v>
      </c>
      <c r="L24" s="49">
        <f t="shared" si="4"/>
        <v>71250</v>
      </c>
      <c r="M24" s="53">
        <f t="shared" si="3"/>
        <v>1.8387019273847637E-2</v>
      </c>
      <c r="O24" s="58"/>
    </row>
    <row r="25" spans="1:15" hidden="1">
      <c r="A25" s="121" t="s">
        <v>114</v>
      </c>
      <c r="B25" s="20" t="s">
        <v>115</v>
      </c>
      <c r="C25" s="33"/>
      <c r="D25" s="33"/>
      <c r="E25" s="33"/>
      <c r="F25" s="33"/>
      <c r="G25" s="33"/>
      <c r="H25" s="33"/>
      <c r="I25" s="33"/>
      <c r="J25" s="33">
        <f t="shared" si="2"/>
        <v>0</v>
      </c>
      <c r="K25" s="49"/>
      <c r="L25" s="49">
        <f t="shared" si="4"/>
        <v>0</v>
      </c>
      <c r="M25" s="53">
        <f t="shared" si="3"/>
        <v>0</v>
      </c>
      <c r="O25" s="58"/>
    </row>
    <row r="26" spans="1:15">
      <c r="A26" s="19" t="s">
        <v>116</v>
      </c>
      <c r="B26" s="20" t="s">
        <v>117</v>
      </c>
      <c r="C26" s="33">
        <v>0</v>
      </c>
      <c r="D26" s="33"/>
      <c r="E26" s="33"/>
      <c r="F26" s="33"/>
      <c r="G26" s="33"/>
      <c r="H26" s="33"/>
      <c r="I26" s="33"/>
      <c r="J26" s="33">
        <f t="shared" si="2"/>
        <v>0</v>
      </c>
      <c r="K26" s="49">
        <v>0</v>
      </c>
      <c r="L26" s="49">
        <f t="shared" si="4"/>
        <v>0</v>
      </c>
      <c r="M26" s="53">
        <f t="shared" si="3"/>
        <v>0</v>
      </c>
      <c r="O26" s="58"/>
    </row>
    <row r="27" spans="1:15">
      <c r="A27" s="19" t="s">
        <v>88</v>
      </c>
      <c r="B27" s="20" t="s">
        <v>89</v>
      </c>
      <c r="C27" s="33">
        <v>15400</v>
      </c>
      <c r="D27" s="33"/>
      <c r="E27" s="33"/>
      <c r="F27" s="33"/>
      <c r="G27" s="33"/>
      <c r="H27" s="33"/>
      <c r="I27" s="33"/>
      <c r="J27" s="33">
        <f t="shared" si="2"/>
        <v>15400</v>
      </c>
      <c r="K27" s="49">
        <v>0</v>
      </c>
      <c r="L27" s="49">
        <f t="shared" si="4"/>
        <v>15400</v>
      </c>
      <c r="M27" s="53">
        <f t="shared" si="3"/>
        <v>0</v>
      </c>
      <c r="O27" s="58"/>
    </row>
    <row r="28" spans="1:15">
      <c r="A28" s="19" t="s">
        <v>20</v>
      </c>
      <c r="B28" s="20" t="s">
        <v>21</v>
      </c>
      <c r="C28" s="33">
        <v>31068.6</v>
      </c>
      <c r="D28" s="33"/>
      <c r="E28" s="33"/>
      <c r="F28" s="33"/>
      <c r="G28" s="33"/>
      <c r="H28" s="33"/>
      <c r="I28" s="33"/>
      <c r="J28" s="33">
        <f t="shared" si="2"/>
        <v>31068.6</v>
      </c>
      <c r="K28" s="49">
        <v>11944.43</v>
      </c>
      <c r="L28" s="49">
        <f t="shared" si="4"/>
        <v>19124.169999999998</v>
      </c>
      <c r="M28" s="53">
        <f t="shared" si="3"/>
        <v>5.3566454786615593E-3</v>
      </c>
      <c r="O28" s="58"/>
    </row>
    <row r="29" spans="1:15">
      <c r="A29" s="19" t="s">
        <v>15</v>
      </c>
      <c r="B29" s="20" t="s">
        <v>110</v>
      </c>
      <c r="C29" s="33">
        <v>94901</v>
      </c>
      <c r="D29" s="33"/>
      <c r="E29" s="33"/>
      <c r="F29" s="33"/>
      <c r="G29" s="33"/>
      <c r="H29" s="33"/>
      <c r="I29" s="33"/>
      <c r="J29" s="33">
        <f t="shared" si="2"/>
        <v>94901</v>
      </c>
      <c r="K29" s="49">
        <v>22195.11</v>
      </c>
      <c r="L29" s="49">
        <f t="shared" si="4"/>
        <v>72705.89</v>
      </c>
      <c r="M29" s="53">
        <f t="shared" si="3"/>
        <v>9.9537052525650836E-3</v>
      </c>
      <c r="O29" s="58"/>
    </row>
    <row r="30" spans="1:15">
      <c r="A30" s="19" t="s">
        <v>16</v>
      </c>
      <c r="B30" s="20" t="s">
        <v>111</v>
      </c>
      <c r="C30" s="33">
        <v>8132.05</v>
      </c>
      <c r="D30" s="33"/>
      <c r="E30" s="33"/>
      <c r="F30" s="33"/>
      <c r="G30" s="33"/>
      <c r="H30" s="33"/>
      <c r="I30" s="33"/>
      <c r="J30" s="33">
        <f t="shared" si="2"/>
        <v>8132.05</v>
      </c>
      <c r="K30" s="49">
        <v>2080.1400000000003</v>
      </c>
      <c r="L30" s="49">
        <f t="shared" si="4"/>
        <v>6051.91</v>
      </c>
      <c r="M30" s="53">
        <f t="shared" si="3"/>
        <v>9.3286766517808361E-4</v>
      </c>
      <c r="O30" s="58"/>
    </row>
    <row r="31" spans="1:15">
      <c r="A31" s="19" t="s">
        <v>17</v>
      </c>
      <c r="B31" s="21" t="s">
        <v>77</v>
      </c>
      <c r="C31" s="33">
        <v>59303</v>
      </c>
      <c r="D31" s="33"/>
      <c r="E31" s="33"/>
      <c r="F31" s="33"/>
      <c r="G31" s="33"/>
      <c r="H31" s="33"/>
      <c r="I31" s="33"/>
      <c r="J31" s="33">
        <f t="shared" si="2"/>
        <v>59303</v>
      </c>
      <c r="K31" s="49">
        <v>0</v>
      </c>
      <c r="L31" s="49">
        <f t="shared" si="4"/>
        <v>59303</v>
      </c>
      <c r="M31" s="53">
        <f t="shared" si="3"/>
        <v>0</v>
      </c>
      <c r="O31" s="58"/>
    </row>
    <row r="32" spans="1:15">
      <c r="A32" s="19" t="s">
        <v>18</v>
      </c>
      <c r="B32" s="20" t="s">
        <v>80</v>
      </c>
      <c r="C32" s="33">
        <v>59303</v>
      </c>
      <c r="D32" s="33"/>
      <c r="E32" s="33"/>
      <c r="F32" s="33"/>
      <c r="G32" s="33"/>
      <c r="H32" s="33"/>
      <c r="I32" s="33"/>
      <c r="J32" s="33">
        <f t="shared" si="2"/>
        <v>59303</v>
      </c>
      <c r="K32" s="49">
        <v>0</v>
      </c>
      <c r="L32" s="49">
        <f t="shared" si="4"/>
        <v>59303</v>
      </c>
      <c r="M32" s="53">
        <f t="shared" si="3"/>
        <v>0</v>
      </c>
      <c r="O32" s="58"/>
    </row>
    <row r="33" spans="1:15">
      <c r="A33" s="19" t="s">
        <v>19</v>
      </c>
      <c r="B33" s="20" t="s">
        <v>78</v>
      </c>
      <c r="C33" s="33">
        <v>4000</v>
      </c>
      <c r="D33" s="33"/>
      <c r="E33" s="33"/>
      <c r="F33" s="33"/>
      <c r="G33" s="33"/>
      <c r="H33" s="33"/>
      <c r="I33" s="33"/>
      <c r="J33" s="33">
        <f t="shared" si="2"/>
        <v>4000</v>
      </c>
      <c r="K33" s="49">
        <v>0</v>
      </c>
      <c r="L33" s="49">
        <f t="shared" si="4"/>
        <v>4000</v>
      </c>
      <c r="M33" s="53">
        <f t="shared" si="3"/>
        <v>0</v>
      </c>
      <c r="O33" s="58"/>
    </row>
    <row r="34" spans="1:15">
      <c r="A34" s="19"/>
      <c r="B34" s="20"/>
      <c r="C34" s="33"/>
      <c r="D34" s="33"/>
      <c r="E34" s="33"/>
      <c r="F34" s="33"/>
      <c r="G34" s="33"/>
      <c r="H34" s="33"/>
      <c r="I34" s="33"/>
      <c r="J34" s="33"/>
      <c r="K34" s="81"/>
      <c r="L34" s="49"/>
      <c r="M34" s="53"/>
      <c r="O34" s="58"/>
    </row>
    <row r="35" spans="1:15">
      <c r="A35" s="23">
        <v>1</v>
      </c>
      <c r="B35" s="23" t="s">
        <v>10</v>
      </c>
      <c r="C35" s="33"/>
      <c r="D35" s="33"/>
      <c r="E35" s="33"/>
      <c r="F35" s="33"/>
      <c r="G35" s="33"/>
      <c r="H35" s="33"/>
      <c r="I35" s="33"/>
      <c r="J35" s="33"/>
      <c r="K35" s="83"/>
      <c r="L35" s="49"/>
      <c r="M35" s="53"/>
      <c r="O35" s="58"/>
    </row>
    <row r="36" spans="1:15">
      <c r="A36" s="24">
        <v>111</v>
      </c>
      <c r="B36" s="20" t="s">
        <v>39</v>
      </c>
      <c r="C36" s="33">
        <v>13125</v>
      </c>
      <c r="D36" s="33"/>
      <c r="E36" s="33"/>
      <c r="F36" s="33"/>
      <c r="G36" s="33"/>
      <c r="H36" s="33"/>
      <c r="I36" s="33"/>
      <c r="J36" s="33">
        <f t="shared" si="2"/>
        <v>13125</v>
      </c>
      <c r="K36" s="49">
        <v>3563.6200000000003</v>
      </c>
      <c r="L36" s="49">
        <f t="shared" si="4"/>
        <v>9561.3799999999992</v>
      </c>
      <c r="M36" s="53">
        <f t="shared" ref="M36:M69" si="5">K36/$K$114</f>
        <v>1.5981548688943639E-3</v>
      </c>
      <c r="O36" s="58"/>
    </row>
    <row r="37" spans="1:15">
      <c r="A37" s="24">
        <v>113</v>
      </c>
      <c r="B37" s="20" t="s">
        <v>48</v>
      </c>
      <c r="C37" s="33">
        <v>24780</v>
      </c>
      <c r="D37" s="33"/>
      <c r="E37" s="33"/>
      <c r="F37" s="33"/>
      <c r="G37" s="33"/>
      <c r="H37" s="33"/>
      <c r="I37" s="33"/>
      <c r="J37" s="33">
        <f t="shared" si="2"/>
        <v>24780</v>
      </c>
      <c r="K37" s="49">
        <v>6622</v>
      </c>
      <c r="L37" s="49">
        <f t="shared" si="4"/>
        <v>18158</v>
      </c>
      <c r="M37" s="53">
        <f t="shared" si="5"/>
        <v>2.9697278446687574E-3</v>
      </c>
      <c r="O37" s="58"/>
    </row>
    <row r="38" spans="1:15">
      <c r="A38" s="24">
        <v>114</v>
      </c>
      <c r="B38" s="20" t="s">
        <v>109</v>
      </c>
      <c r="C38" s="33">
        <v>2500</v>
      </c>
      <c r="D38" s="33"/>
      <c r="E38" s="33"/>
      <c r="F38" s="33"/>
      <c r="G38" s="33"/>
      <c r="H38" s="33"/>
      <c r="I38" s="33"/>
      <c r="J38" s="33">
        <f t="shared" si="2"/>
        <v>2500</v>
      </c>
      <c r="K38" s="49">
        <v>533.79</v>
      </c>
      <c r="L38" s="49">
        <f t="shared" si="4"/>
        <v>1966.21</v>
      </c>
      <c r="M38" s="53">
        <f t="shared" si="5"/>
        <v>2.3938553702895437E-4</v>
      </c>
      <c r="O38" s="58"/>
    </row>
    <row r="39" spans="1:15">
      <c r="A39" s="24">
        <v>121</v>
      </c>
      <c r="B39" s="20" t="s">
        <v>155</v>
      </c>
      <c r="C39" s="33">
        <v>12250</v>
      </c>
      <c r="D39" s="33"/>
      <c r="E39" s="33"/>
      <c r="F39" s="33"/>
      <c r="G39" s="33"/>
      <c r="H39" s="33"/>
      <c r="I39" s="33"/>
      <c r="J39" s="33">
        <f t="shared" si="2"/>
        <v>12250</v>
      </c>
      <c r="K39" s="49">
        <v>3656</v>
      </c>
      <c r="L39" s="49">
        <f t="shared" si="4"/>
        <v>8594</v>
      </c>
      <c r="M39" s="53">
        <f t="shared" si="5"/>
        <v>1.6395839625655355E-3</v>
      </c>
      <c r="O39" s="58"/>
    </row>
    <row r="40" spans="1:15">
      <c r="A40" s="24">
        <v>122</v>
      </c>
      <c r="B40" s="20" t="s">
        <v>81</v>
      </c>
      <c r="C40" s="33">
        <v>29000</v>
      </c>
      <c r="D40" s="33"/>
      <c r="E40" s="33"/>
      <c r="F40" s="33"/>
      <c r="G40" s="33"/>
      <c r="H40" s="33"/>
      <c r="I40" s="33"/>
      <c r="J40" s="33">
        <f t="shared" si="2"/>
        <v>29000</v>
      </c>
      <c r="K40" s="49">
        <v>18509.5</v>
      </c>
      <c r="L40" s="49">
        <f t="shared" si="4"/>
        <v>10490.5</v>
      </c>
      <c r="M40" s="53">
        <f t="shared" si="5"/>
        <v>8.3008422743727529E-3</v>
      </c>
      <c r="N40" s="63"/>
      <c r="O40" s="58"/>
    </row>
    <row r="41" spans="1:15">
      <c r="A41" s="24">
        <v>131</v>
      </c>
      <c r="B41" s="20" t="s">
        <v>51</v>
      </c>
      <c r="C41" s="33">
        <v>1251963.1500000001</v>
      </c>
      <c r="D41" s="33"/>
      <c r="E41" s="33"/>
      <c r="F41" s="33"/>
      <c r="G41" s="33"/>
      <c r="H41" s="33"/>
      <c r="I41" s="33"/>
      <c r="J41" s="33">
        <f t="shared" si="2"/>
        <v>1251963.1500000001</v>
      </c>
      <c r="K41" s="49">
        <v>1014950.71</v>
      </c>
      <c r="L41" s="49">
        <f t="shared" si="4"/>
        <v>237012.44000000018</v>
      </c>
      <c r="M41" s="53">
        <f t="shared" si="5"/>
        <v>0.45516873821403275</v>
      </c>
      <c r="O41" s="58"/>
    </row>
    <row r="42" spans="1:15">
      <c r="A42" s="24">
        <v>133</v>
      </c>
      <c r="B42" s="20" t="s">
        <v>52</v>
      </c>
      <c r="C42" s="33">
        <v>1500</v>
      </c>
      <c r="D42" s="33"/>
      <c r="E42" s="33"/>
      <c r="F42" s="33"/>
      <c r="G42" s="33"/>
      <c r="H42" s="33"/>
      <c r="I42" s="33"/>
      <c r="J42" s="33">
        <f t="shared" si="2"/>
        <v>1500</v>
      </c>
      <c r="K42" s="49">
        <v>0</v>
      </c>
      <c r="L42" s="49">
        <f t="shared" si="4"/>
        <v>1500</v>
      </c>
      <c r="M42" s="53">
        <f t="shared" si="5"/>
        <v>0</v>
      </c>
      <c r="O42" s="58"/>
    </row>
    <row r="43" spans="1:15" hidden="1">
      <c r="A43" s="120">
        <v>134</v>
      </c>
      <c r="B43" s="20" t="s">
        <v>82</v>
      </c>
      <c r="C43" s="33">
        <v>0</v>
      </c>
      <c r="D43" s="33"/>
      <c r="E43" s="33"/>
      <c r="F43" s="33"/>
      <c r="G43" s="33"/>
      <c r="H43" s="33"/>
      <c r="I43" s="33"/>
      <c r="J43" s="33">
        <f t="shared" si="2"/>
        <v>0</v>
      </c>
      <c r="K43" s="49"/>
      <c r="L43" s="49">
        <f t="shared" si="4"/>
        <v>0</v>
      </c>
      <c r="M43" s="53">
        <f t="shared" si="5"/>
        <v>0</v>
      </c>
      <c r="O43" s="58"/>
    </row>
    <row r="44" spans="1:15">
      <c r="A44" s="24">
        <v>135</v>
      </c>
      <c r="B44" s="20" t="s">
        <v>90</v>
      </c>
      <c r="C44" s="33">
        <v>100840.04999999999</v>
      </c>
      <c r="D44" s="33"/>
      <c r="E44" s="33"/>
      <c r="F44" s="33"/>
      <c r="G44" s="33"/>
      <c r="H44" s="33"/>
      <c r="I44" s="33"/>
      <c r="J44" s="33">
        <f t="shared" si="2"/>
        <v>100840.04999999999</v>
      </c>
      <c r="K44" s="49">
        <v>63209.880000000005</v>
      </c>
      <c r="L44" s="49">
        <f t="shared" si="4"/>
        <v>37630.169999999984</v>
      </c>
      <c r="M44" s="53">
        <f t="shared" si="5"/>
        <v>2.8347348337990155E-2</v>
      </c>
      <c r="O44" s="58"/>
    </row>
    <row r="45" spans="1:15">
      <c r="A45" s="24">
        <v>141</v>
      </c>
      <c r="B45" s="20" t="s">
        <v>71</v>
      </c>
      <c r="C45" s="33">
        <v>846850</v>
      </c>
      <c r="D45" s="33"/>
      <c r="E45" s="33"/>
      <c r="F45" s="33"/>
      <c r="G45" s="33"/>
      <c r="H45" s="33"/>
      <c r="I45" s="33"/>
      <c r="J45" s="33">
        <f t="shared" si="2"/>
        <v>846850</v>
      </c>
      <c r="K45" s="49">
        <v>359191.35</v>
      </c>
      <c r="L45" s="49">
        <f t="shared" si="4"/>
        <v>487658.65</v>
      </c>
      <c r="M45" s="53">
        <f t="shared" si="5"/>
        <v>0.16108434818169151</v>
      </c>
      <c r="O45" s="58"/>
    </row>
    <row r="46" spans="1:15">
      <c r="A46" s="24">
        <v>142</v>
      </c>
      <c r="B46" s="20" t="s">
        <v>22</v>
      </c>
      <c r="C46" s="33">
        <v>16000</v>
      </c>
      <c r="D46" s="33"/>
      <c r="E46" s="33"/>
      <c r="F46" s="33"/>
      <c r="G46" s="33"/>
      <c r="H46" s="33"/>
      <c r="I46" s="33"/>
      <c r="J46" s="33">
        <f t="shared" si="2"/>
        <v>16000</v>
      </c>
      <c r="K46" s="49">
        <v>0</v>
      </c>
      <c r="L46" s="49">
        <f t="shared" si="4"/>
        <v>16000</v>
      </c>
      <c r="M46" s="53">
        <f t="shared" si="5"/>
        <v>0</v>
      </c>
      <c r="O46" s="58"/>
    </row>
    <row r="47" spans="1:15">
      <c r="A47" s="24">
        <v>143</v>
      </c>
      <c r="B47" s="20" t="s">
        <v>112</v>
      </c>
      <c r="C47" s="33">
        <v>27000</v>
      </c>
      <c r="D47" s="33"/>
      <c r="E47" s="33"/>
      <c r="F47" s="33"/>
      <c r="G47" s="33"/>
      <c r="H47" s="33"/>
      <c r="I47" s="33"/>
      <c r="J47" s="33">
        <f t="shared" si="2"/>
        <v>27000</v>
      </c>
      <c r="K47" s="49">
        <v>0</v>
      </c>
      <c r="L47" s="49">
        <f t="shared" si="4"/>
        <v>27000</v>
      </c>
      <c r="M47" s="53">
        <f t="shared" si="5"/>
        <v>0</v>
      </c>
      <c r="O47" s="58"/>
    </row>
    <row r="48" spans="1:15">
      <c r="A48" s="24">
        <v>151</v>
      </c>
      <c r="B48" s="20" t="s">
        <v>118</v>
      </c>
      <c r="C48" s="33">
        <v>70560</v>
      </c>
      <c r="D48" s="33"/>
      <c r="E48" s="33"/>
      <c r="F48" s="33"/>
      <c r="G48" s="33"/>
      <c r="H48" s="33"/>
      <c r="I48" s="33"/>
      <c r="J48" s="33">
        <f t="shared" si="2"/>
        <v>70560</v>
      </c>
      <c r="K48" s="49">
        <v>29137.5</v>
      </c>
      <c r="L48" s="49">
        <f t="shared" si="4"/>
        <v>41422.5</v>
      </c>
      <c r="M48" s="53">
        <f t="shared" si="5"/>
        <v>1.3067116441261841E-2</v>
      </c>
      <c r="O48" s="58"/>
    </row>
    <row r="49" spans="1:15" hidden="1">
      <c r="A49" s="120">
        <v>155</v>
      </c>
      <c r="B49" s="20" t="s">
        <v>33</v>
      </c>
      <c r="C49" s="33">
        <v>0</v>
      </c>
      <c r="D49" s="33"/>
      <c r="E49" s="33"/>
      <c r="F49" s="33"/>
      <c r="G49" s="33"/>
      <c r="H49" s="33"/>
      <c r="I49" s="33"/>
      <c r="J49" s="33">
        <f t="shared" si="2"/>
        <v>0</v>
      </c>
      <c r="K49" s="49"/>
      <c r="L49" s="49">
        <f t="shared" si="4"/>
        <v>0</v>
      </c>
      <c r="M49" s="53">
        <f t="shared" si="5"/>
        <v>0</v>
      </c>
      <c r="O49" s="58"/>
    </row>
    <row r="50" spans="1:15">
      <c r="A50" s="24">
        <v>158</v>
      </c>
      <c r="B50" s="20" t="s">
        <v>91</v>
      </c>
      <c r="C50" s="33">
        <v>6550</v>
      </c>
      <c r="D50" s="33"/>
      <c r="E50" s="33"/>
      <c r="F50" s="33"/>
      <c r="G50" s="33"/>
      <c r="H50" s="33"/>
      <c r="I50" s="33"/>
      <c r="J50" s="33">
        <f t="shared" si="2"/>
        <v>6550</v>
      </c>
      <c r="K50" s="49">
        <v>1416</v>
      </c>
      <c r="L50" s="49">
        <f t="shared" si="4"/>
        <v>5134</v>
      </c>
      <c r="M50" s="53">
        <f t="shared" si="5"/>
        <v>6.3502486077483551E-4</v>
      </c>
      <c r="O50" s="58"/>
    </row>
    <row r="51" spans="1:15">
      <c r="A51" s="24">
        <v>162</v>
      </c>
      <c r="B51" s="20" t="s">
        <v>53</v>
      </c>
      <c r="C51" s="33">
        <v>2000</v>
      </c>
      <c r="D51" s="33"/>
      <c r="E51" s="33"/>
      <c r="F51" s="33"/>
      <c r="G51" s="33"/>
      <c r="H51" s="33"/>
      <c r="I51" s="33"/>
      <c r="J51" s="33">
        <f t="shared" si="2"/>
        <v>2000</v>
      </c>
      <c r="K51" s="49">
        <v>350</v>
      </c>
      <c r="L51" s="49">
        <f t="shared" si="4"/>
        <v>1650</v>
      </c>
      <c r="M51" s="53">
        <f t="shared" si="5"/>
        <v>1.569623596547969E-4</v>
      </c>
      <c r="O51" s="58"/>
    </row>
    <row r="52" spans="1:15">
      <c r="A52" s="24">
        <v>164</v>
      </c>
      <c r="B52" s="20" t="s">
        <v>40</v>
      </c>
      <c r="C52" s="33">
        <v>20000</v>
      </c>
      <c r="D52" s="33"/>
      <c r="E52" s="33"/>
      <c r="F52" s="33"/>
      <c r="G52" s="33"/>
      <c r="H52" s="33"/>
      <c r="I52" s="33"/>
      <c r="J52" s="33">
        <f t="shared" si="2"/>
        <v>20000</v>
      </c>
      <c r="K52" s="49">
        <v>0</v>
      </c>
      <c r="L52" s="49">
        <f t="shared" si="4"/>
        <v>20000</v>
      </c>
      <c r="M52" s="53">
        <f t="shared" si="5"/>
        <v>0</v>
      </c>
      <c r="O52" s="58"/>
    </row>
    <row r="53" spans="1:15">
      <c r="A53" s="24">
        <v>165</v>
      </c>
      <c r="B53" s="20" t="s">
        <v>92</v>
      </c>
      <c r="C53" s="33">
        <v>6900</v>
      </c>
      <c r="D53" s="33"/>
      <c r="E53" s="33"/>
      <c r="F53" s="33"/>
      <c r="G53" s="33"/>
      <c r="H53" s="33"/>
      <c r="I53" s="33"/>
      <c r="J53" s="33">
        <f t="shared" si="2"/>
        <v>6900</v>
      </c>
      <c r="K53" s="49">
        <v>1492.94</v>
      </c>
      <c r="L53" s="49">
        <f t="shared" si="4"/>
        <v>5407.0599999999995</v>
      </c>
      <c r="M53" s="53">
        <f t="shared" si="5"/>
        <v>6.6952967206580717E-4</v>
      </c>
      <c r="O53" s="58"/>
    </row>
    <row r="54" spans="1:15">
      <c r="A54" s="24">
        <v>168</v>
      </c>
      <c r="B54" s="20" t="s">
        <v>54</v>
      </c>
      <c r="C54" s="33">
        <v>3000</v>
      </c>
      <c r="D54" s="33"/>
      <c r="E54" s="33"/>
      <c r="F54" s="33"/>
      <c r="G54" s="33"/>
      <c r="H54" s="33"/>
      <c r="I54" s="33"/>
      <c r="J54" s="33">
        <f t="shared" si="2"/>
        <v>3000</v>
      </c>
      <c r="K54" s="49">
        <v>0</v>
      </c>
      <c r="L54" s="49">
        <f t="shared" si="4"/>
        <v>3000</v>
      </c>
      <c r="M54" s="53">
        <f t="shared" si="5"/>
        <v>0</v>
      </c>
      <c r="O54" s="58"/>
    </row>
    <row r="55" spans="1:15">
      <c r="A55" s="24">
        <v>174</v>
      </c>
      <c r="B55" s="20" t="s">
        <v>41</v>
      </c>
      <c r="C55" s="33">
        <v>5000</v>
      </c>
      <c r="D55" s="33"/>
      <c r="E55" s="33"/>
      <c r="F55" s="33"/>
      <c r="G55" s="33"/>
      <c r="H55" s="33"/>
      <c r="I55" s="33"/>
      <c r="J55" s="33">
        <f t="shared" si="2"/>
        <v>5000</v>
      </c>
      <c r="K55" s="49">
        <v>2947.37</v>
      </c>
      <c r="L55" s="49">
        <f t="shared" si="4"/>
        <v>2052.63</v>
      </c>
      <c r="M55" s="53">
        <f t="shared" si="5"/>
        <v>1.3217889999307393E-3</v>
      </c>
      <c r="O55" s="58"/>
    </row>
    <row r="56" spans="1:15">
      <c r="A56" s="24">
        <v>181</v>
      </c>
      <c r="B56" s="20" t="s">
        <v>139</v>
      </c>
      <c r="C56" s="33">
        <v>158000</v>
      </c>
      <c r="D56" s="33"/>
      <c r="E56" s="33"/>
      <c r="F56" s="33"/>
      <c r="G56" s="33"/>
      <c r="H56" s="33"/>
      <c r="I56" s="33"/>
      <c r="J56" s="33">
        <f t="shared" si="2"/>
        <v>158000</v>
      </c>
      <c r="K56" s="49">
        <v>0</v>
      </c>
      <c r="L56" s="49">
        <f t="shared" si="4"/>
        <v>158000</v>
      </c>
      <c r="M56" s="53">
        <f t="shared" si="5"/>
        <v>0</v>
      </c>
      <c r="O56" s="58"/>
    </row>
    <row r="57" spans="1:15" hidden="1">
      <c r="A57" s="120">
        <v>182</v>
      </c>
      <c r="B57" s="20" t="s">
        <v>56</v>
      </c>
      <c r="C57" s="33">
        <v>0</v>
      </c>
      <c r="D57" s="33"/>
      <c r="E57" s="33"/>
      <c r="F57" s="33"/>
      <c r="G57" s="33"/>
      <c r="H57" s="33"/>
      <c r="I57" s="33"/>
      <c r="J57" s="33">
        <f t="shared" si="2"/>
        <v>0</v>
      </c>
      <c r="K57" s="49"/>
      <c r="L57" s="49">
        <f t="shared" si="4"/>
        <v>0</v>
      </c>
      <c r="M57" s="53">
        <f t="shared" si="5"/>
        <v>0</v>
      </c>
      <c r="O57" s="58"/>
    </row>
    <row r="58" spans="1:15">
      <c r="A58" s="24">
        <v>183</v>
      </c>
      <c r="B58" s="20" t="s">
        <v>93</v>
      </c>
      <c r="C58" s="33">
        <v>85000</v>
      </c>
      <c r="D58" s="33"/>
      <c r="E58" s="33"/>
      <c r="F58" s="33"/>
      <c r="G58" s="33"/>
      <c r="H58" s="33"/>
      <c r="I58" s="33"/>
      <c r="J58" s="33">
        <f t="shared" si="2"/>
        <v>85000</v>
      </c>
      <c r="K58" s="49">
        <v>10750</v>
      </c>
      <c r="L58" s="49">
        <f t="shared" si="4"/>
        <v>74250</v>
      </c>
      <c r="M58" s="53">
        <f t="shared" si="5"/>
        <v>4.8209867608259051E-3</v>
      </c>
      <c r="O58" s="58"/>
    </row>
    <row r="59" spans="1:15">
      <c r="A59" s="24">
        <v>184</v>
      </c>
      <c r="B59" s="20" t="s">
        <v>94</v>
      </c>
      <c r="C59" s="33">
        <v>50000</v>
      </c>
      <c r="D59" s="33"/>
      <c r="E59" s="33"/>
      <c r="F59" s="33"/>
      <c r="G59" s="33"/>
      <c r="H59" s="33"/>
      <c r="I59" s="33"/>
      <c r="J59" s="33">
        <f t="shared" si="2"/>
        <v>50000</v>
      </c>
      <c r="K59" s="49">
        <v>19821.43</v>
      </c>
      <c r="L59" s="49">
        <f t="shared" si="4"/>
        <v>30178.57</v>
      </c>
      <c r="M59" s="53">
        <f t="shared" si="5"/>
        <v>8.889195498663946E-3</v>
      </c>
      <c r="O59" s="58"/>
    </row>
    <row r="60" spans="1:15">
      <c r="A60" s="24">
        <v>185</v>
      </c>
      <c r="B60" s="20" t="s">
        <v>95</v>
      </c>
      <c r="C60" s="33">
        <v>15000</v>
      </c>
      <c r="D60" s="33"/>
      <c r="E60" s="33"/>
      <c r="F60" s="33"/>
      <c r="G60" s="33"/>
      <c r="H60" s="33"/>
      <c r="I60" s="33"/>
      <c r="J60" s="33">
        <f t="shared" si="2"/>
        <v>15000</v>
      </c>
      <c r="K60" s="49">
        <v>3762</v>
      </c>
      <c r="L60" s="49">
        <f t="shared" si="4"/>
        <v>11238</v>
      </c>
      <c r="M60" s="53">
        <f t="shared" si="5"/>
        <v>1.6871211343467028E-3</v>
      </c>
      <c r="O60" s="58"/>
    </row>
    <row r="61" spans="1:15">
      <c r="A61" s="24">
        <v>186</v>
      </c>
      <c r="B61" s="20" t="s">
        <v>42</v>
      </c>
      <c r="C61" s="33">
        <v>2000</v>
      </c>
      <c r="D61" s="33"/>
      <c r="E61" s="33"/>
      <c r="F61" s="33"/>
      <c r="G61" s="33"/>
      <c r="H61" s="33"/>
      <c r="I61" s="33"/>
      <c r="J61" s="33">
        <f t="shared" si="2"/>
        <v>2000</v>
      </c>
      <c r="K61" s="49">
        <v>1140</v>
      </c>
      <c r="L61" s="49">
        <f t="shared" si="4"/>
        <v>860</v>
      </c>
      <c r="M61" s="53">
        <f t="shared" si="5"/>
        <v>5.1124882858990986E-4</v>
      </c>
      <c r="O61" s="58"/>
    </row>
    <row r="62" spans="1:15">
      <c r="A62" s="24">
        <v>187</v>
      </c>
      <c r="B62" s="20" t="s">
        <v>96</v>
      </c>
      <c r="C62" s="33">
        <v>20000</v>
      </c>
      <c r="D62" s="33"/>
      <c r="E62" s="33"/>
      <c r="F62" s="33"/>
      <c r="G62" s="33"/>
      <c r="H62" s="33"/>
      <c r="I62" s="33"/>
      <c r="J62" s="33">
        <f t="shared" si="2"/>
        <v>20000</v>
      </c>
      <c r="K62" s="49">
        <v>1600</v>
      </c>
      <c r="L62" s="49">
        <f t="shared" si="4"/>
        <v>18400</v>
      </c>
      <c r="M62" s="53">
        <f t="shared" si="5"/>
        <v>7.175422155647858E-4</v>
      </c>
      <c r="O62" s="58"/>
    </row>
    <row r="63" spans="1:15">
      <c r="A63" s="24">
        <v>188</v>
      </c>
      <c r="B63" s="20" t="s">
        <v>97</v>
      </c>
      <c r="C63" s="33">
        <v>60000</v>
      </c>
      <c r="D63" s="33"/>
      <c r="E63" s="33"/>
      <c r="F63" s="33"/>
      <c r="G63" s="33"/>
      <c r="H63" s="33"/>
      <c r="I63" s="33"/>
      <c r="J63" s="33">
        <f t="shared" si="2"/>
        <v>60000</v>
      </c>
      <c r="K63" s="49">
        <v>0</v>
      </c>
      <c r="L63" s="49">
        <f t="shared" si="4"/>
        <v>60000</v>
      </c>
      <c r="M63" s="53">
        <f t="shared" si="5"/>
        <v>0</v>
      </c>
      <c r="O63" s="58"/>
    </row>
    <row r="64" spans="1:15">
      <c r="A64" s="24">
        <v>189</v>
      </c>
      <c r="B64" s="20" t="s">
        <v>98</v>
      </c>
      <c r="C64" s="33">
        <v>285000</v>
      </c>
      <c r="D64" s="33"/>
      <c r="E64" s="33"/>
      <c r="F64" s="33"/>
      <c r="G64" s="33"/>
      <c r="H64" s="33"/>
      <c r="I64" s="33"/>
      <c r="J64" s="33">
        <f t="shared" si="2"/>
        <v>285000</v>
      </c>
      <c r="K64" s="49">
        <v>84262.86</v>
      </c>
      <c r="L64" s="49">
        <f t="shared" si="4"/>
        <v>200737.14</v>
      </c>
      <c r="M64" s="53">
        <f t="shared" si="5"/>
        <v>3.7788849533890854E-2</v>
      </c>
      <c r="O64" s="58"/>
    </row>
    <row r="65" spans="1:16">
      <c r="A65" s="24">
        <v>191</v>
      </c>
      <c r="B65" s="20" t="s">
        <v>99</v>
      </c>
      <c r="C65" s="33">
        <v>11250</v>
      </c>
      <c r="D65" s="33"/>
      <c r="E65" s="33"/>
      <c r="F65" s="76"/>
      <c r="G65" s="33"/>
      <c r="H65" s="33"/>
      <c r="I65" s="33"/>
      <c r="J65" s="33">
        <f t="shared" si="2"/>
        <v>11250</v>
      </c>
      <c r="K65" s="49">
        <v>0</v>
      </c>
      <c r="L65" s="49">
        <f t="shared" si="4"/>
        <v>11250</v>
      </c>
      <c r="M65" s="53">
        <f t="shared" si="5"/>
        <v>0</v>
      </c>
      <c r="O65" s="58"/>
    </row>
    <row r="66" spans="1:16">
      <c r="A66" s="24">
        <v>194</v>
      </c>
      <c r="B66" s="20" t="s">
        <v>148</v>
      </c>
      <c r="C66" s="33">
        <v>5000</v>
      </c>
      <c r="D66" s="33"/>
      <c r="E66" s="33"/>
      <c r="F66" s="33"/>
      <c r="G66" s="33"/>
      <c r="H66" s="33"/>
      <c r="I66" s="33"/>
      <c r="J66" s="33">
        <f t="shared" si="2"/>
        <v>5000</v>
      </c>
      <c r="K66" s="49">
        <v>822.43999999999983</v>
      </c>
      <c r="L66" s="49">
        <f t="shared" si="4"/>
        <v>4177.5600000000004</v>
      </c>
      <c r="M66" s="53">
        <f t="shared" si="5"/>
        <v>3.6883463735568896E-4</v>
      </c>
      <c r="O66" s="58"/>
    </row>
    <row r="67" spans="1:16">
      <c r="A67" s="24">
        <v>195</v>
      </c>
      <c r="B67" s="20" t="s">
        <v>34</v>
      </c>
      <c r="C67" s="33">
        <v>10000</v>
      </c>
      <c r="D67" s="33"/>
      <c r="E67" s="33"/>
      <c r="F67" s="33"/>
      <c r="G67" s="33"/>
      <c r="H67" s="33"/>
      <c r="I67" s="33"/>
      <c r="J67" s="33">
        <f t="shared" si="2"/>
        <v>10000</v>
      </c>
      <c r="K67" s="49">
        <v>511.4</v>
      </c>
      <c r="L67" s="49">
        <f t="shared" si="4"/>
        <v>9488.6</v>
      </c>
      <c r="M67" s="53">
        <f t="shared" si="5"/>
        <v>2.2934443064989466E-4</v>
      </c>
      <c r="O67" s="58"/>
    </row>
    <row r="68" spans="1:16">
      <c r="A68" s="24">
        <v>196</v>
      </c>
      <c r="B68" s="20" t="s">
        <v>100</v>
      </c>
      <c r="C68" s="33">
        <v>20000</v>
      </c>
      <c r="D68" s="33"/>
      <c r="E68" s="33"/>
      <c r="F68" s="33"/>
      <c r="G68" s="33"/>
      <c r="H68" s="33"/>
      <c r="I68" s="33"/>
      <c r="J68" s="33">
        <f t="shared" si="2"/>
        <v>20000</v>
      </c>
      <c r="K68" s="49">
        <v>0</v>
      </c>
      <c r="L68" s="49">
        <f t="shared" si="4"/>
        <v>20000</v>
      </c>
      <c r="M68" s="53">
        <f t="shared" si="5"/>
        <v>0</v>
      </c>
      <c r="O68" s="58"/>
    </row>
    <row r="69" spans="1:16">
      <c r="A69" s="24">
        <v>199</v>
      </c>
      <c r="B69" s="20" t="s">
        <v>55</v>
      </c>
      <c r="C69" s="33">
        <v>25000</v>
      </c>
      <c r="D69" s="33"/>
      <c r="E69" s="33"/>
      <c r="F69" s="33"/>
      <c r="G69" s="33"/>
      <c r="H69" s="33"/>
      <c r="I69" s="33"/>
      <c r="J69" s="33">
        <f t="shared" si="2"/>
        <v>25000</v>
      </c>
      <c r="K69" s="49">
        <v>14819.87</v>
      </c>
      <c r="L69" s="49">
        <f t="shared" si="4"/>
        <v>10180.129999999999</v>
      </c>
      <c r="M69" s="53">
        <f t="shared" si="5"/>
        <v>6.6461764713638145E-3</v>
      </c>
      <c r="O69" s="58"/>
    </row>
    <row r="70" spans="1:16">
      <c r="A70" s="24"/>
      <c r="B70" s="20"/>
      <c r="C70" s="33"/>
      <c r="D70" s="33"/>
      <c r="E70" s="33"/>
      <c r="F70" s="33"/>
      <c r="G70" s="33"/>
      <c r="H70" s="33"/>
      <c r="I70" s="33"/>
      <c r="J70" s="33"/>
      <c r="K70" s="81"/>
      <c r="L70" s="49"/>
      <c r="M70" s="53"/>
      <c r="O70" s="58"/>
    </row>
    <row r="71" spans="1:16">
      <c r="A71" s="23">
        <v>2</v>
      </c>
      <c r="B71" s="23" t="s">
        <v>11</v>
      </c>
      <c r="C71" s="33"/>
      <c r="D71" s="33"/>
      <c r="E71" s="33"/>
      <c r="F71" s="33"/>
      <c r="G71" s="33"/>
      <c r="H71" s="33"/>
      <c r="I71" s="33"/>
      <c r="J71" s="33"/>
      <c r="K71" s="83"/>
      <c r="L71" s="49"/>
      <c r="M71" s="53"/>
      <c r="O71" s="58"/>
    </row>
    <row r="72" spans="1:16">
      <c r="A72" s="24">
        <v>211</v>
      </c>
      <c r="B72" s="20" t="s">
        <v>23</v>
      </c>
      <c r="C72" s="33">
        <v>111400</v>
      </c>
      <c r="D72" s="33"/>
      <c r="E72" s="33"/>
      <c r="F72" s="33"/>
      <c r="G72" s="33"/>
      <c r="H72" s="33"/>
      <c r="I72" s="33"/>
      <c r="J72" s="33">
        <f t="shared" ref="J72:J97" si="6">C72+D72-E72+F72-G72+H72-I72</f>
        <v>111400</v>
      </c>
      <c r="K72" s="49">
        <v>23688.15</v>
      </c>
      <c r="L72" s="49">
        <f t="shared" ref="L72:L97" si="7">J72-K72</f>
        <v>87711.85</v>
      </c>
      <c r="M72" s="53">
        <f t="shared" ref="M72:M97" si="8">K72/$K$114</f>
        <v>1.0623279771019364E-2</v>
      </c>
      <c r="O72" s="58"/>
    </row>
    <row r="73" spans="1:16" hidden="1">
      <c r="A73" s="120">
        <v>219</v>
      </c>
      <c r="B73" s="20" t="s">
        <v>24</v>
      </c>
      <c r="C73" s="33">
        <v>0</v>
      </c>
      <c r="D73" s="33"/>
      <c r="E73" s="33"/>
      <c r="F73" s="33"/>
      <c r="G73" s="33"/>
      <c r="H73" s="33"/>
      <c r="I73" s="33"/>
      <c r="J73" s="33">
        <f t="shared" si="6"/>
        <v>0</v>
      </c>
      <c r="K73" s="49"/>
      <c r="L73" s="49">
        <f t="shared" si="7"/>
        <v>0</v>
      </c>
      <c r="M73" s="53">
        <f t="shared" si="8"/>
        <v>0</v>
      </c>
      <c r="O73" s="58"/>
    </row>
    <row r="74" spans="1:16">
      <c r="A74" s="24">
        <v>232</v>
      </c>
      <c r="B74" s="20" t="s">
        <v>57</v>
      </c>
      <c r="C74" s="33">
        <v>1080</v>
      </c>
      <c r="D74" s="33"/>
      <c r="E74" s="33"/>
      <c r="F74" s="33"/>
      <c r="G74" s="33"/>
      <c r="H74" s="33"/>
      <c r="I74" s="33"/>
      <c r="J74" s="33">
        <f t="shared" si="6"/>
        <v>1080</v>
      </c>
      <c r="K74" s="49">
        <v>300</v>
      </c>
      <c r="L74" s="49">
        <f t="shared" si="7"/>
        <v>780</v>
      </c>
      <c r="M74" s="53">
        <f t="shared" si="8"/>
        <v>1.3453916541839733E-4</v>
      </c>
      <c r="O74" s="58"/>
    </row>
    <row r="75" spans="1:16">
      <c r="A75" s="24">
        <v>233</v>
      </c>
      <c r="B75" s="20" t="s">
        <v>70</v>
      </c>
      <c r="C75" s="33">
        <v>58000</v>
      </c>
      <c r="D75" s="33"/>
      <c r="E75" s="33"/>
      <c r="F75" s="33"/>
      <c r="G75" s="33"/>
      <c r="H75" s="33"/>
      <c r="I75" s="33"/>
      <c r="J75" s="33">
        <f t="shared" si="6"/>
        <v>58000</v>
      </c>
      <c r="K75" s="49">
        <v>0</v>
      </c>
      <c r="L75" s="49">
        <f t="shared" si="7"/>
        <v>58000</v>
      </c>
      <c r="M75" s="53">
        <f t="shared" si="8"/>
        <v>0</v>
      </c>
      <c r="O75" s="58"/>
      <c r="P75" s="87"/>
    </row>
    <row r="76" spans="1:16">
      <c r="A76" s="24">
        <v>241</v>
      </c>
      <c r="B76" s="20" t="s">
        <v>58</v>
      </c>
      <c r="C76" s="33">
        <v>6000</v>
      </c>
      <c r="D76" s="33"/>
      <c r="E76" s="33"/>
      <c r="F76" s="33"/>
      <c r="G76" s="33"/>
      <c r="H76" s="33"/>
      <c r="I76" s="33"/>
      <c r="J76" s="33">
        <f t="shared" si="6"/>
        <v>6000</v>
      </c>
      <c r="K76" s="49">
        <v>1316.9</v>
      </c>
      <c r="L76" s="49">
        <f t="shared" si="7"/>
        <v>4683.1000000000004</v>
      </c>
      <c r="M76" s="53">
        <f t="shared" si="8"/>
        <v>5.9058208979829161E-4</v>
      </c>
      <c r="O76" s="58"/>
      <c r="P76" s="87"/>
    </row>
    <row r="77" spans="1:16">
      <c r="A77" s="24">
        <v>243</v>
      </c>
      <c r="B77" s="20" t="s">
        <v>43</v>
      </c>
      <c r="C77" s="33">
        <v>1100</v>
      </c>
      <c r="D77" s="33"/>
      <c r="E77" s="33"/>
      <c r="F77" s="33"/>
      <c r="G77" s="33"/>
      <c r="H77" s="33"/>
      <c r="I77" s="33"/>
      <c r="J77" s="33">
        <f t="shared" si="6"/>
        <v>1100</v>
      </c>
      <c r="K77" s="49">
        <v>312.2</v>
      </c>
      <c r="L77" s="49">
        <f t="shared" si="7"/>
        <v>787.8</v>
      </c>
      <c r="M77" s="53">
        <f t="shared" si="8"/>
        <v>1.4001042481207883E-4</v>
      </c>
      <c r="O77" s="58"/>
    </row>
    <row r="78" spans="1:16">
      <c r="A78" s="24">
        <v>244</v>
      </c>
      <c r="B78" s="20" t="s">
        <v>44</v>
      </c>
      <c r="C78" s="33">
        <v>2255</v>
      </c>
      <c r="D78" s="33"/>
      <c r="E78" s="33"/>
      <c r="F78" s="33"/>
      <c r="G78" s="33"/>
      <c r="H78" s="33"/>
      <c r="I78" s="33"/>
      <c r="J78" s="33">
        <f t="shared" si="6"/>
        <v>2255</v>
      </c>
      <c r="K78" s="49">
        <v>814.4</v>
      </c>
      <c r="L78" s="49">
        <f t="shared" si="7"/>
        <v>1440.6</v>
      </c>
      <c r="M78" s="53">
        <f t="shared" si="8"/>
        <v>3.6522898772247596E-4</v>
      </c>
      <c r="O78" s="58"/>
    </row>
    <row r="79" spans="1:16">
      <c r="A79" s="24">
        <v>245</v>
      </c>
      <c r="B79" s="20" t="s">
        <v>45</v>
      </c>
      <c r="C79" s="33">
        <v>1300</v>
      </c>
      <c r="D79" s="33"/>
      <c r="E79" s="33"/>
      <c r="F79" s="33"/>
      <c r="G79" s="33"/>
      <c r="H79" s="33"/>
      <c r="I79" s="33"/>
      <c r="J79" s="33">
        <f t="shared" si="6"/>
        <v>1300</v>
      </c>
      <c r="K79" s="49">
        <v>0</v>
      </c>
      <c r="L79" s="49">
        <f t="shared" si="7"/>
        <v>1300</v>
      </c>
      <c r="M79" s="53">
        <f t="shared" si="8"/>
        <v>0</v>
      </c>
      <c r="O79" s="58"/>
    </row>
    <row r="80" spans="1:16">
      <c r="A80" s="24">
        <v>253</v>
      </c>
      <c r="B80" s="20" t="s">
        <v>37</v>
      </c>
      <c r="C80" s="33">
        <v>7500</v>
      </c>
      <c r="D80" s="33"/>
      <c r="E80" s="33"/>
      <c r="F80" s="33"/>
      <c r="G80" s="33"/>
      <c r="H80" s="33"/>
      <c r="I80" s="33"/>
      <c r="J80" s="33">
        <f t="shared" si="6"/>
        <v>7500</v>
      </c>
      <c r="K80" s="49">
        <v>0</v>
      </c>
      <c r="L80" s="49">
        <f t="shared" si="7"/>
        <v>7500</v>
      </c>
      <c r="M80" s="53">
        <f t="shared" si="8"/>
        <v>0</v>
      </c>
      <c r="O80" s="58"/>
    </row>
    <row r="81" spans="1:15">
      <c r="A81" s="24">
        <v>254</v>
      </c>
      <c r="B81" s="20" t="s">
        <v>46</v>
      </c>
      <c r="C81" s="33">
        <v>750</v>
      </c>
      <c r="D81" s="33"/>
      <c r="E81" s="33"/>
      <c r="F81" s="33"/>
      <c r="G81" s="33"/>
      <c r="H81" s="33"/>
      <c r="I81" s="33"/>
      <c r="J81" s="33">
        <f t="shared" si="6"/>
        <v>750</v>
      </c>
      <c r="K81" s="49">
        <v>270</v>
      </c>
      <c r="L81" s="49">
        <f t="shared" si="7"/>
        <v>480</v>
      </c>
      <c r="M81" s="53">
        <f t="shared" si="8"/>
        <v>1.2108524887655761E-4</v>
      </c>
      <c r="O81" s="58"/>
    </row>
    <row r="82" spans="1:15">
      <c r="A82" s="24">
        <v>262</v>
      </c>
      <c r="B82" s="20" t="s">
        <v>59</v>
      </c>
      <c r="C82" s="33">
        <v>9770</v>
      </c>
      <c r="D82" s="33"/>
      <c r="E82" s="33"/>
      <c r="F82" s="33"/>
      <c r="G82" s="33"/>
      <c r="H82" s="33"/>
      <c r="I82" s="33"/>
      <c r="J82" s="33">
        <f t="shared" si="6"/>
        <v>9770</v>
      </c>
      <c r="K82" s="49">
        <v>4238.96</v>
      </c>
      <c r="L82" s="49">
        <f t="shared" si="7"/>
        <v>5531.04</v>
      </c>
      <c r="M82" s="53">
        <f t="shared" si="8"/>
        <v>1.9010204688065654E-3</v>
      </c>
      <c r="O82" s="58"/>
    </row>
    <row r="83" spans="1:15">
      <c r="A83" s="24">
        <v>266</v>
      </c>
      <c r="B83" s="20" t="s">
        <v>60</v>
      </c>
      <c r="C83" s="33">
        <v>600</v>
      </c>
      <c r="D83" s="33"/>
      <c r="E83" s="33"/>
      <c r="F83" s="33"/>
      <c r="G83" s="33"/>
      <c r="H83" s="33"/>
      <c r="I83" s="33"/>
      <c r="J83" s="33">
        <f t="shared" si="6"/>
        <v>600</v>
      </c>
      <c r="K83" s="49">
        <v>211.3</v>
      </c>
      <c r="L83" s="49">
        <f t="shared" si="7"/>
        <v>388.7</v>
      </c>
      <c r="M83" s="53">
        <f t="shared" si="8"/>
        <v>9.4760418843024534E-5</v>
      </c>
      <c r="O83" s="58"/>
    </row>
    <row r="84" spans="1:15">
      <c r="A84" s="24">
        <v>267</v>
      </c>
      <c r="B84" s="20" t="s">
        <v>86</v>
      </c>
      <c r="C84" s="33">
        <v>22000</v>
      </c>
      <c r="D84" s="33"/>
      <c r="E84" s="33"/>
      <c r="F84" s="33"/>
      <c r="G84" s="33"/>
      <c r="H84" s="33"/>
      <c r="I84" s="33"/>
      <c r="J84" s="33">
        <f t="shared" si="6"/>
        <v>22000</v>
      </c>
      <c r="K84" s="49">
        <v>7890</v>
      </c>
      <c r="L84" s="49">
        <f t="shared" si="7"/>
        <v>14110</v>
      </c>
      <c r="M84" s="53">
        <f t="shared" si="8"/>
        <v>3.5383800505038501E-3</v>
      </c>
      <c r="O84" s="58"/>
    </row>
    <row r="85" spans="1:15">
      <c r="A85" s="24">
        <v>268</v>
      </c>
      <c r="B85" s="20" t="s">
        <v>61</v>
      </c>
      <c r="C85" s="33">
        <v>794</v>
      </c>
      <c r="D85" s="33"/>
      <c r="E85" s="33"/>
      <c r="F85" s="33"/>
      <c r="G85" s="33"/>
      <c r="H85" s="33"/>
      <c r="I85" s="33"/>
      <c r="J85" s="33">
        <f t="shared" si="6"/>
        <v>794</v>
      </c>
      <c r="K85" s="49">
        <v>708.25000000000011</v>
      </c>
      <c r="L85" s="49">
        <f t="shared" si="7"/>
        <v>85.749999999999886</v>
      </c>
      <c r="M85" s="53">
        <f t="shared" si="8"/>
        <v>3.1762454635859977E-4</v>
      </c>
      <c r="O85" s="58"/>
    </row>
    <row r="86" spans="1:15">
      <c r="A86" s="24">
        <v>269</v>
      </c>
      <c r="B86" s="20" t="s">
        <v>62</v>
      </c>
      <c r="C86" s="33">
        <v>500</v>
      </c>
      <c r="D86" s="33"/>
      <c r="E86" s="33"/>
      <c r="F86" s="33"/>
      <c r="G86" s="33"/>
      <c r="H86" s="33"/>
      <c r="I86" s="33"/>
      <c r="J86" s="33">
        <f t="shared" si="6"/>
        <v>500</v>
      </c>
      <c r="K86" s="49">
        <v>450</v>
      </c>
      <c r="L86" s="49">
        <f t="shared" si="7"/>
        <v>50</v>
      </c>
      <c r="M86" s="53">
        <f t="shared" si="8"/>
        <v>2.0180874812759602E-4</v>
      </c>
      <c r="O86" s="58"/>
    </row>
    <row r="87" spans="1:15">
      <c r="A87" s="24">
        <v>271</v>
      </c>
      <c r="B87" s="20" t="s">
        <v>63</v>
      </c>
      <c r="C87" s="33">
        <v>160800</v>
      </c>
      <c r="D87" s="33"/>
      <c r="E87" s="33"/>
      <c r="F87" s="33"/>
      <c r="G87" s="33"/>
      <c r="H87" s="33"/>
      <c r="I87" s="33"/>
      <c r="J87" s="33">
        <f t="shared" si="6"/>
        <v>160800</v>
      </c>
      <c r="K87" s="49">
        <v>0</v>
      </c>
      <c r="L87" s="49">
        <f t="shared" si="7"/>
        <v>160800</v>
      </c>
      <c r="M87" s="53">
        <f t="shared" si="8"/>
        <v>0</v>
      </c>
      <c r="O87" s="58"/>
    </row>
    <row r="88" spans="1:15">
      <c r="A88" s="24">
        <v>283</v>
      </c>
      <c r="B88" s="20" t="s">
        <v>64</v>
      </c>
      <c r="C88" s="33">
        <v>1000</v>
      </c>
      <c r="D88" s="33"/>
      <c r="E88" s="33"/>
      <c r="F88" s="33"/>
      <c r="G88" s="33"/>
      <c r="H88" s="33"/>
      <c r="I88" s="33"/>
      <c r="J88" s="33">
        <f t="shared" si="6"/>
        <v>1000</v>
      </c>
      <c r="K88" s="49">
        <v>9</v>
      </c>
      <c r="L88" s="49">
        <f t="shared" si="7"/>
        <v>991</v>
      </c>
      <c r="M88" s="53">
        <f t="shared" si="8"/>
        <v>4.0361749625519199E-6</v>
      </c>
      <c r="O88" s="58"/>
    </row>
    <row r="89" spans="1:15">
      <c r="A89" s="24">
        <v>284</v>
      </c>
      <c r="B89" s="20" t="s">
        <v>47</v>
      </c>
      <c r="C89" s="33">
        <v>7500</v>
      </c>
      <c r="D89" s="33"/>
      <c r="E89" s="33"/>
      <c r="F89" s="33"/>
      <c r="G89" s="33"/>
      <c r="H89" s="33"/>
      <c r="I89" s="33"/>
      <c r="J89" s="33">
        <f t="shared" si="6"/>
        <v>7500</v>
      </c>
      <c r="K89" s="49">
        <v>0</v>
      </c>
      <c r="L89" s="49">
        <f t="shared" si="7"/>
        <v>7500</v>
      </c>
      <c r="M89" s="53">
        <f t="shared" si="8"/>
        <v>0</v>
      </c>
      <c r="O89" s="58"/>
    </row>
    <row r="90" spans="1:15">
      <c r="A90" s="24">
        <v>285</v>
      </c>
      <c r="B90" s="20" t="s">
        <v>113</v>
      </c>
      <c r="C90" s="33">
        <v>807000</v>
      </c>
      <c r="D90" s="33"/>
      <c r="E90" s="33"/>
      <c r="F90" s="33"/>
      <c r="G90" s="33"/>
      <c r="H90" s="33"/>
      <c r="I90" s="33"/>
      <c r="J90" s="33">
        <f t="shared" si="6"/>
        <v>807000</v>
      </c>
      <c r="K90" s="49">
        <v>0</v>
      </c>
      <c r="L90" s="49">
        <f t="shared" si="7"/>
        <v>807000</v>
      </c>
      <c r="M90" s="53">
        <f t="shared" si="8"/>
        <v>0</v>
      </c>
      <c r="O90" s="58"/>
    </row>
    <row r="91" spans="1:15">
      <c r="A91" s="24">
        <v>291</v>
      </c>
      <c r="B91" s="20" t="s">
        <v>65</v>
      </c>
      <c r="C91" s="33">
        <v>9000</v>
      </c>
      <c r="D91" s="33"/>
      <c r="E91" s="33"/>
      <c r="F91" s="33"/>
      <c r="G91" s="33"/>
      <c r="H91" s="33"/>
      <c r="I91" s="33"/>
      <c r="J91" s="33">
        <f t="shared" si="6"/>
        <v>9000</v>
      </c>
      <c r="K91" s="49">
        <v>1284.79</v>
      </c>
      <c r="L91" s="49">
        <f t="shared" si="7"/>
        <v>7715.21</v>
      </c>
      <c r="M91" s="53">
        <f t="shared" si="8"/>
        <v>5.7618191445967578E-4</v>
      </c>
      <c r="O91" s="58"/>
    </row>
    <row r="92" spans="1:15">
      <c r="A92" s="24">
        <v>292</v>
      </c>
      <c r="B92" s="20" t="s">
        <v>66</v>
      </c>
      <c r="C92" s="33">
        <v>1800</v>
      </c>
      <c r="D92" s="33"/>
      <c r="E92" s="33"/>
      <c r="F92" s="33"/>
      <c r="G92" s="33"/>
      <c r="H92" s="33"/>
      <c r="I92" s="33"/>
      <c r="J92" s="33">
        <f t="shared" si="6"/>
        <v>1800</v>
      </c>
      <c r="K92" s="49">
        <v>566.75</v>
      </c>
      <c r="L92" s="49">
        <f t="shared" si="7"/>
        <v>1233.25</v>
      </c>
      <c r="M92" s="53">
        <f t="shared" si="8"/>
        <v>2.5416690666958897E-4</v>
      </c>
      <c r="O92" s="58"/>
    </row>
    <row r="93" spans="1:15">
      <c r="A93" s="24">
        <v>294</v>
      </c>
      <c r="B93" s="20" t="s">
        <v>67</v>
      </c>
      <c r="C93" s="33">
        <v>140250</v>
      </c>
      <c r="D93" s="43"/>
      <c r="E93" s="43"/>
      <c r="F93" s="33"/>
      <c r="G93" s="33"/>
      <c r="H93" s="33"/>
      <c r="I93" s="33"/>
      <c r="J93" s="33">
        <f t="shared" si="6"/>
        <v>140250</v>
      </c>
      <c r="K93" s="49">
        <v>32880</v>
      </c>
      <c r="L93" s="49">
        <f t="shared" si="7"/>
        <v>107370</v>
      </c>
      <c r="M93" s="53">
        <f t="shared" si="8"/>
        <v>1.4745492529856349E-2</v>
      </c>
      <c r="O93" s="58"/>
    </row>
    <row r="94" spans="1:15">
      <c r="A94" s="24">
        <v>296</v>
      </c>
      <c r="B94" s="20" t="s">
        <v>101</v>
      </c>
      <c r="C94" s="33">
        <v>500</v>
      </c>
      <c r="D94" s="33"/>
      <c r="E94" s="33"/>
      <c r="F94" s="33"/>
      <c r="G94" s="33"/>
      <c r="H94" s="33"/>
      <c r="I94" s="33"/>
      <c r="J94" s="33">
        <f t="shared" si="6"/>
        <v>500</v>
      </c>
      <c r="K94" s="49">
        <v>0</v>
      </c>
      <c r="L94" s="49">
        <f t="shared" si="7"/>
        <v>500</v>
      </c>
      <c r="M94" s="53">
        <f t="shared" si="8"/>
        <v>0</v>
      </c>
      <c r="O94" s="58"/>
    </row>
    <row r="95" spans="1:15">
      <c r="A95" s="24">
        <v>297</v>
      </c>
      <c r="B95" s="20" t="s">
        <v>68</v>
      </c>
      <c r="C95" s="33">
        <v>1000</v>
      </c>
      <c r="D95" s="33"/>
      <c r="E95" s="33"/>
      <c r="F95" s="33"/>
      <c r="G95" s="33"/>
      <c r="H95" s="33"/>
      <c r="I95" s="33"/>
      <c r="J95" s="33">
        <f t="shared" si="6"/>
        <v>1000</v>
      </c>
      <c r="K95" s="49">
        <v>530.17999999999995</v>
      </c>
      <c r="L95" s="49">
        <f t="shared" si="7"/>
        <v>469.82000000000005</v>
      </c>
      <c r="M95" s="53">
        <f t="shared" si="8"/>
        <v>2.3776658240508633E-4</v>
      </c>
      <c r="O95" s="58"/>
    </row>
    <row r="96" spans="1:15">
      <c r="A96" s="24">
        <v>298</v>
      </c>
      <c r="B96" s="20" t="s">
        <v>25</v>
      </c>
      <c r="C96" s="33">
        <v>85460</v>
      </c>
      <c r="D96" s="43"/>
      <c r="E96" s="43"/>
      <c r="F96" s="33"/>
      <c r="G96" s="33"/>
      <c r="H96" s="33"/>
      <c r="I96" s="33"/>
      <c r="J96" s="33">
        <f t="shared" si="6"/>
        <v>85460</v>
      </c>
      <c r="K96" s="49">
        <v>3776.05</v>
      </c>
      <c r="L96" s="49">
        <f t="shared" si="7"/>
        <v>81683.95</v>
      </c>
      <c r="M96" s="53">
        <f t="shared" si="8"/>
        <v>1.693422051927131E-3</v>
      </c>
      <c r="O96" s="58"/>
    </row>
    <row r="97" spans="1:15">
      <c r="A97" s="24">
        <v>299</v>
      </c>
      <c r="B97" s="20" t="s">
        <v>69</v>
      </c>
      <c r="C97" s="33">
        <v>12000</v>
      </c>
      <c r="D97" s="43"/>
      <c r="E97" s="43"/>
      <c r="F97" s="33"/>
      <c r="G97" s="33"/>
      <c r="H97" s="33"/>
      <c r="I97" s="33"/>
      <c r="J97" s="33">
        <f t="shared" si="6"/>
        <v>12000</v>
      </c>
      <c r="K97" s="49">
        <v>1672.95</v>
      </c>
      <c r="L97" s="49">
        <f t="shared" si="7"/>
        <v>10327.049999999999</v>
      </c>
      <c r="M97" s="53">
        <f t="shared" si="8"/>
        <v>7.5025765595569281E-4</v>
      </c>
      <c r="O97" s="58"/>
    </row>
    <row r="98" spans="1:15">
      <c r="A98" s="24"/>
      <c r="B98" s="20"/>
      <c r="C98" s="33"/>
      <c r="D98" s="43"/>
      <c r="E98" s="43"/>
      <c r="F98" s="33"/>
      <c r="G98" s="33"/>
      <c r="H98" s="33"/>
      <c r="I98" s="33"/>
      <c r="J98" s="33"/>
      <c r="K98" s="81"/>
      <c r="L98" s="49"/>
      <c r="M98" s="53"/>
      <c r="O98" s="58"/>
    </row>
    <row r="99" spans="1:15">
      <c r="A99" s="23">
        <v>3</v>
      </c>
      <c r="B99" s="23" t="s">
        <v>129</v>
      </c>
      <c r="C99" s="33"/>
      <c r="D99" s="33"/>
      <c r="E99" s="33"/>
      <c r="F99" s="33"/>
      <c r="G99" s="33"/>
      <c r="H99" s="33"/>
      <c r="I99" s="33"/>
      <c r="J99" s="33"/>
      <c r="K99" s="83"/>
      <c r="L99" s="49"/>
      <c r="M99" s="53"/>
      <c r="O99" s="58"/>
    </row>
    <row r="100" spans="1:15">
      <c r="A100" s="24">
        <v>322</v>
      </c>
      <c r="B100" s="20" t="s">
        <v>83</v>
      </c>
      <c r="C100" s="33">
        <v>18000</v>
      </c>
      <c r="D100" s="33"/>
      <c r="E100" s="33"/>
      <c r="F100" s="33"/>
      <c r="G100" s="33"/>
      <c r="H100" s="33"/>
      <c r="I100" s="33"/>
      <c r="J100" s="33">
        <f t="shared" ref="J100:J105" si="9">C100+D100-E100+F100-G100+H100-I100</f>
        <v>18000</v>
      </c>
      <c r="K100" s="49">
        <v>0</v>
      </c>
      <c r="L100" s="49">
        <f t="shared" ref="L100:L105" si="10">J100-K100</f>
        <v>18000</v>
      </c>
      <c r="M100" s="53">
        <f t="shared" ref="M100:M105" si="11">K100/$K$114</f>
        <v>0</v>
      </c>
      <c r="O100" s="58"/>
    </row>
    <row r="101" spans="1:15" hidden="1">
      <c r="A101" s="120">
        <v>323</v>
      </c>
      <c r="B101" s="20" t="s">
        <v>119</v>
      </c>
      <c r="C101" s="33">
        <v>0</v>
      </c>
      <c r="D101" s="33"/>
      <c r="E101" s="33"/>
      <c r="F101" s="33"/>
      <c r="G101" s="33"/>
      <c r="H101" s="33"/>
      <c r="I101" s="33"/>
      <c r="J101" s="33">
        <f t="shared" si="9"/>
        <v>0</v>
      </c>
      <c r="K101" s="49"/>
      <c r="L101" s="49">
        <f t="shared" si="10"/>
        <v>0</v>
      </c>
      <c r="M101" s="53">
        <f t="shared" si="11"/>
        <v>0</v>
      </c>
    </row>
    <row r="102" spans="1:15">
      <c r="A102" s="24">
        <v>324</v>
      </c>
      <c r="B102" s="20" t="s">
        <v>120</v>
      </c>
      <c r="C102" s="33">
        <v>2147922.54</v>
      </c>
      <c r="D102" s="33"/>
      <c r="E102" s="33"/>
      <c r="F102" s="33"/>
      <c r="G102" s="33"/>
      <c r="H102" s="33"/>
      <c r="I102" s="33"/>
      <c r="J102" s="33">
        <f t="shared" si="9"/>
        <v>2147922.54</v>
      </c>
      <c r="K102" s="49">
        <v>89975</v>
      </c>
      <c r="L102" s="49">
        <f t="shared" si="10"/>
        <v>2057947.54</v>
      </c>
      <c r="M102" s="53">
        <f t="shared" si="11"/>
        <v>4.0350538028401002E-2</v>
      </c>
    </row>
    <row r="103" spans="1:15">
      <c r="A103" s="24">
        <v>328</v>
      </c>
      <c r="B103" s="20" t="s">
        <v>84</v>
      </c>
      <c r="C103" s="33">
        <v>7500</v>
      </c>
      <c r="D103" s="33"/>
      <c r="E103" s="33"/>
      <c r="F103" s="33"/>
      <c r="G103" s="33"/>
      <c r="H103" s="33"/>
      <c r="I103" s="33"/>
      <c r="J103" s="33">
        <f t="shared" si="9"/>
        <v>7500</v>
      </c>
      <c r="K103" s="49">
        <v>0</v>
      </c>
      <c r="L103" s="49">
        <f t="shared" si="10"/>
        <v>7500</v>
      </c>
      <c r="M103" s="53">
        <f t="shared" si="11"/>
        <v>0</v>
      </c>
    </row>
    <row r="104" spans="1:15">
      <c r="A104" s="24">
        <v>329</v>
      </c>
      <c r="B104" s="20" t="s">
        <v>85</v>
      </c>
      <c r="C104" s="33">
        <v>10500</v>
      </c>
      <c r="D104" s="33"/>
      <c r="E104" s="33"/>
      <c r="F104" s="33"/>
      <c r="G104" s="33"/>
      <c r="H104" s="33"/>
      <c r="I104" s="33"/>
      <c r="J104" s="33">
        <f t="shared" si="9"/>
        <v>10500</v>
      </c>
      <c r="K104" s="49">
        <v>0</v>
      </c>
      <c r="L104" s="49">
        <f t="shared" si="10"/>
        <v>10500</v>
      </c>
      <c r="M104" s="53">
        <f t="shared" si="11"/>
        <v>0</v>
      </c>
    </row>
    <row r="105" spans="1:15">
      <c r="A105" s="24">
        <v>332</v>
      </c>
      <c r="B105" s="20" t="s">
        <v>140</v>
      </c>
      <c r="C105" s="33">
        <v>2388358.86</v>
      </c>
      <c r="D105" s="33"/>
      <c r="E105" s="33"/>
      <c r="F105" s="33"/>
      <c r="G105" s="33"/>
      <c r="H105" s="33"/>
      <c r="I105" s="33"/>
      <c r="J105" s="33">
        <f t="shared" si="9"/>
        <v>2388358.86</v>
      </c>
      <c r="K105" s="49">
        <v>0</v>
      </c>
      <c r="L105" s="49">
        <f t="shared" si="10"/>
        <v>2388358.86</v>
      </c>
      <c r="M105" s="53">
        <f t="shared" si="11"/>
        <v>0</v>
      </c>
    </row>
    <row r="106" spans="1:15">
      <c r="A106" s="24"/>
      <c r="B106" s="20"/>
      <c r="C106" s="33"/>
      <c r="D106" s="33"/>
      <c r="E106" s="33"/>
      <c r="F106" s="33"/>
      <c r="G106" s="33"/>
      <c r="H106" s="33"/>
      <c r="I106" s="33"/>
      <c r="J106" s="33"/>
      <c r="K106" s="81"/>
      <c r="L106" s="49"/>
      <c r="M106" s="53"/>
      <c r="O106" s="12"/>
    </row>
    <row r="107" spans="1:15">
      <c r="A107" s="23">
        <v>4</v>
      </c>
      <c r="B107" s="23" t="s">
        <v>12</v>
      </c>
      <c r="C107" s="33"/>
      <c r="D107" s="33"/>
      <c r="E107" s="33"/>
      <c r="F107" s="33"/>
      <c r="G107" s="33"/>
      <c r="H107" s="33"/>
      <c r="I107" s="33"/>
      <c r="J107" s="33"/>
      <c r="K107" s="81"/>
      <c r="L107" s="49"/>
      <c r="M107" s="53"/>
      <c r="O107" s="12"/>
    </row>
    <row r="108" spans="1:15">
      <c r="A108" s="25">
        <v>413</v>
      </c>
      <c r="B108" s="26" t="s">
        <v>72</v>
      </c>
      <c r="C108" s="33">
        <v>20750</v>
      </c>
      <c r="D108" s="33"/>
      <c r="E108" s="33"/>
      <c r="F108" s="33"/>
      <c r="G108" s="33"/>
      <c r="H108" s="33"/>
      <c r="I108" s="33"/>
      <c r="J108" s="33">
        <f t="shared" ref="J108:J112" si="12">C108+D108-E108+F108-G108+H108-I108</f>
        <v>20750</v>
      </c>
      <c r="K108" s="49">
        <v>0</v>
      </c>
      <c r="L108" s="49">
        <f t="shared" ref="L108:L112" si="13">J108-K108</f>
        <v>20750</v>
      </c>
      <c r="M108" s="53">
        <f>K108/$K$114</f>
        <v>0</v>
      </c>
      <c r="O108" s="12"/>
    </row>
    <row r="109" spans="1:15">
      <c r="A109" s="25">
        <v>415</v>
      </c>
      <c r="B109" s="26" t="s">
        <v>73</v>
      </c>
      <c r="C109" s="33">
        <v>7600</v>
      </c>
      <c r="D109" s="33"/>
      <c r="E109" s="33"/>
      <c r="F109" s="33"/>
      <c r="G109" s="33"/>
      <c r="H109" s="33"/>
      <c r="I109" s="33"/>
      <c r="J109" s="33">
        <f t="shared" si="12"/>
        <v>7600</v>
      </c>
      <c r="K109" s="49">
        <v>0</v>
      </c>
      <c r="L109" s="49">
        <f t="shared" si="13"/>
        <v>7600</v>
      </c>
      <c r="M109" s="53">
        <f>K109/$K$114</f>
        <v>0</v>
      </c>
      <c r="O109" s="12"/>
    </row>
    <row r="110" spans="1:15">
      <c r="A110" s="25">
        <v>419</v>
      </c>
      <c r="B110" s="26" t="s">
        <v>74</v>
      </c>
      <c r="C110" s="33">
        <v>19200</v>
      </c>
      <c r="D110" s="33"/>
      <c r="E110" s="33"/>
      <c r="F110" s="33"/>
      <c r="G110" s="33"/>
      <c r="H110" s="33"/>
      <c r="I110" s="33"/>
      <c r="J110" s="33">
        <f t="shared" si="12"/>
        <v>19200</v>
      </c>
      <c r="K110" s="49">
        <v>5400</v>
      </c>
      <c r="L110" s="49">
        <f t="shared" si="13"/>
        <v>13800</v>
      </c>
      <c r="M110" s="53">
        <f>K110/$K$114</f>
        <v>2.4217049775311522E-3</v>
      </c>
      <c r="O110" s="12"/>
    </row>
    <row r="111" spans="1:15">
      <c r="A111" s="25">
        <v>453</v>
      </c>
      <c r="B111" s="26" t="s">
        <v>75</v>
      </c>
      <c r="C111" s="33">
        <v>255000</v>
      </c>
      <c r="D111" s="33"/>
      <c r="E111" s="33"/>
      <c r="F111" s="33"/>
      <c r="G111" s="33"/>
      <c r="H111" s="33"/>
      <c r="I111" s="33"/>
      <c r="J111" s="33">
        <f t="shared" si="12"/>
        <v>255000</v>
      </c>
      <c r="K111" s="49">
        <v>74868.75</v>
      </c>
      <c r="L111" s="49">
        <f t="shared" si="13"/>
        <v>180131.25</v>
      </c>
      <c r="M111" s="53">
        <f>K111/$K$114</f>
        <v>3.3575930469728787E-2</v>
      </c>
      <c r="O111" s="12"/>
    </row>
    <row r="112" spans="1:15">
      <c r="A112" s="25">
        <v>472</v>
      </c>
      <c r="B112" s="26" t="s">
        <v>105</v>
      </c>
      <c r="C112" s="33">
        <v>8200</v>
      </c>
      <c r="D112" s="33"/>
      <c r="E112" s="33"/>
      <c r="F112" s="33"/>
      <c r="G112" s="33"/>
      <c r="H112" s="33"/>
      <c r="I112" s="33"/>
      <c r="J112" s="33">
        <f t="shared" si="12"/>
        <v>8200</v>
      </c>
      <c r="K112" s="49">
        <v>4628.7699999999995</v>
      </c>
      <c r="L112" s="49">
        <f t="shared" si="13"/>
        <v>3571.2300000000005</v>
      </c>
      <c r="M112" s="53">
        <f>K112/$K$114</f>
        <v>2.0758361757123832E-3</v>
      </c>
      <c r="O112" s="12"/>
    </row>
    <row r="113" spans="1:15" ht="20.25" customHeight="1" thickBot="1">
      <c r="A113" s="22"/>
      <c r="B113" s="64"/>
      <c r="C113" s="18"/>
      <c r="D113" s="33"/>
      <c r="E113" s="33"/>
      <c r="F113" s="44"/>
      <c r="G113" s="44"/>
      <c r="H113" s="44"/>
      <c r="I113" s="44"/>
      <c r="J113" s="18"/>
      <c r="K113" s="84"/>
      <c r="L113" s="50"/>
      <c r="M113" s="53"/>
      <c r="O113" s="12"/>
    </row>
    <row r="114" spans="1:15" ht="20.25" customHeight="1" thickBot="1">
      <c r="A114" s="65"/>
      <c r="B114" s="8" t="s">
        <v>7</v>
      </c>
      <c r="C114" s="94">
        <f>SUM(C21:C113)</f>
        <v>10577202.25</v>
      </c>
      <c r="D114" s="94">
        <f>SUM(D21:D113)</f>
        <v>0</v>
      </c>
      <c r="E114" s="94">
        <f>SUM(E21:E113)</f>
        <v>0</v>
      </c>
      <c r="F114" s="94">
        <f t="shared" ref="F114:I114" si="14">SUM(F21:F113)</f>
        <v>0</v>
      </c>
      <c r="G114" s="94">
        <f t="shared" si="14"/>
        <v>0</v>
      </c>
      <c r="H114" s="94">
        <f t="shared" si="14"/>
        <v>0</v>
      </c>
      <c r="I114" s="94">
        <f t="shared" si="14"/>
        <v>0</v>
      </c>
      <c r="J114" s="97">
        <f>ROUND((SUM(J21:J113)),2)</f>
        <v>10577202.25</v>
      </c>
      <c r="K114" s="97">
        <f>ROUND((SUM(K21:K113)),2)</f>
        <v>2229833.96</v>
      </c>
      <c r="L114" s="97">
        <f>ROUND((SUM(L21:L113)),2)</f>
        <v>8347368.29</v>
      </c>
      <c r="M114" s="98">
        <f>K114/K114</f>
        <v>1</v>
      </c>
      <c r="O114" s="12"/>
    </row>
    <row r="115" spans="1:15" ht="20.25" customHeight="1">
      <c r="A115" s="66"/>
      <c r="B115" s="13"/>
      <c r="C115" s="14"/>
      <c r="D115" s="14"/>
      <c r="E115" s="14"/>
      <c r="F115" s="14"/>
      <c r="G115" s="27"/>
      <c r="H115" s="27"/>
      <c r="I115" s="14"/>
      <c r="J115" s="14"/>
      <c r="K115" s="85"/>
      <c r="L115" s="14"/>
      <c r="M115" s="15"/>
      <c r="O115" s="12"/>
    </row>
    <row r="116" spans="1:15" ht="20.25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85"/>
      <c r="L116" s="14"/>
      <c r="M116" s="15"/>
      <c r="O116" s="12"/>
    </row>
    <row r="117" spans="1:15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16"/>
      <c r="K117" s="86"/>
      <c r="L117" s="10"/>
      <c r="M117" s="11"/>
    </row>
    <row r="118" spans="1:15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16"/>
      <c r="K118" s="86"/>
      <c r="L118" s="10"/>
      <c r="M118" s="11"/>
    </row>
    <row r="119" spans="1:15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16"/>
      <c r="K119" s="86"/>
      <c r="L119" s="10"/>
      <c r="M119" s="11"/>
      <c r="O119" s="3"/>
    </row>
    <row r="120" spans="1:15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16"/>
      <c r="K120" s="86"/>
      <c r="L120" s="10"/>
      <c r="M120" s="11"/>
    </row>
    <row r="121" spans="1:15" s="12" customFormat="1">
      <c r="A121" s="105" t="s">
        <v>108</v>
      </c>
      <c r="B121" s="35"/>
      <c r="C121" s="101"/>
      <c r="D121" s="9"/>
      <c r="E121" s="9"/>
      <c r="G121" s="41"/>
      <c r="H121" s="41"/>
      <c r="I121" s="41"/>
      <c r="J121" s="16"/>
      <c r="K121" s="86"/>
      <c r="L121" s="10"/>
      <c r="M121" s="11"/>
    </row>
    <row r="122" spans="1:15" s="12" customFormat="1">
      <c r="A122" s="106" t="s">
        <v>136</v>
      </c>
      <c r="B122" s="36"/>
      <c r="C122" s="101">
        <v>656637.59</v>
      </c>
      <c r="D122" s="9"/>
      <c r="E122" s="67"/>
      <c r="G122" s="41"/>
      <c r="H122" s="41"/>
      <c r="I122" s="41"/>
      <c r="J122" s="16"/>
      <c r="K122" s="86"/>
      <c r="L122" s="10"/>
      <c r="M122" s="11"/>
      <c r="O122" s="3"/>
    </row>
    <row r="123" spans="1:15" s="12" customFormat="1">
      <c r="A123" s="106" t="s">
        <v>76</v>
      </c>
      <c r="B123" s="36"/>
      <c r="C123" s="101">
        <f>K18</f>
        <v>2496739.5299999998</v>
      </c>
      <c r="D123" s="9"/>
      <c r="E123" s="67"/>
      <c r="G123" s="41"/>
      <c r="H123" s="41"/>
      <c r="I123" s="77"/>
      <c r="J123" s="16"/>
      <c r="K123" s="86"/>
      <c r="L123" s="10"/>
      <c r="M123" s="11"/>
      <c r="O123" s="3"/>
    </row>
    <row r="124" spans="1:15" s="12" customFormat="1">
      <c r="A124" s="106" t="s">
        <v>87</v>
      </c>
      <c r="B124" s="36"/>
      <c r="C124" s="124">
        <f>-K114</f>
        <v>-2229833.96</v>
      </c>
      <c r="D124" s="9"/>
      <c r="E124" s="67"/>
      <c r="G124" s="41"/>
      <c r="H124" s="41"/>
      <c r="I124" s="41"/>
      <c r="J124" s="16"/>
      <c r="K124" s="86"/>
      <c r="L124" s="10"/>
      <c r="M124" s="11"/>
      <c r="O124" s="3"/>
    </row>
    <row r="125" spans="1:15" s="12" customFormat="1" ht="18" customHeight="1">
      <c r="A125" s="107" t="s">
        <v>107</v>
      </c>
      <c r="B125" s="36"/>
      <c r="C125" s="119">
        <f>SUM(C122:C124)</f>
        <v>923543.15999999968</v>
      </c>
      <c r="D125" s="68"/>
      <c r="E125" s="67"/>
      <c r="G125" s="41"/>
      <c r="H125" s="41"/>
      <c r="I125" s="41"/>
      <c r="J125" s="16"/>
      <c r="K125" s="86"/>
      <c r="L125" s="10"/>
      <c r="M125" s="11"/>
      <c r="O125" s="3"/>
    </row>
    <row r="126" spans="1:15" s="12" customFormat="1" ht="5.0999999999999996" customHeight="1">
      <c r="A126" s="106"/>
      <c r="B126" s="36"/>
      <c r="C126" s="101"/>
      <c r="D126" s="9"/>
      <c r="E126" s="9"/>
      <c r="G126" s="48"/>
      <c r="H126" s="48"/>
      <c r="I126" s="41"/>
      <c r="J126" s="16"/>
      <c r="K126" s="86"/>
      <c r="L126" s="10"/>
      <c r="M126" s="11"/>
      <c r="O126" s="3"/>
    </row>
    <row r="127" spans="1:15" s="12" customFormat="1" ht="5.0999999999999996" customHeight="1">
      <c r="A127" s="106"/>
      <c r="B127" s="36"/>
      <c r="C127" s="101"/>
      <c r="D127" s="9"/>
      <c r="E127" s="9"/>
      <c r="G127" s="41"/>
      <c r="H127" s="41"/>
      <c r="I127" s="41"/>
      <c r="J127" s="16"/>
      <c r="K127" s="86"/>
      <c r="L127" s="10"/>
      <c r="M127" s="11"/>
      <c r="O127" s="3"/>
    </row>
    <row r="128" spans="1:15" s="12" customFormat="1" ht="6.95" customHeight="1">
      <c r="A128" s="106"/>
      <c r="B128" s="36"/>
      <c r="C128" s="101"/>
      <c r="D128" s="9"/>
      <c r="E128" s="9"/>
      <c r="G128" s="41"/>
      <c r="H128" s="41"/>
      <c r="I128" s="41"/>
      <c r="J128" s="16"/>
      <c r="K128" s="86"/>
      <c r="L128" s="10"/>
      <c r="M128" s="11"/>
      <c r="O128" s="3"/>
    </row>
    <row r="129" spans="1:15" s="12" customFormat="1">
      <c r="A129" s="107" t="s">
        <v>160</v>
      </c>
      <c r="B129" s="39"/>
      <c r="C129" s="101">
        <f>C125+C126</f>
        <v>923543.15999999968</v>
      </c>
      <c r="D129" s="69"/>
      <c r="G129" s="41"/>
      <c r="H129" s="41"/>
      <c r="I129" s="41"/>
      <c r="J129" s="16"/>
      <c r="K129" s="86"/>
      <c r="L129" s="10"/>
      <c r="M129" s="11"/>
      <c r="O129" s="3"/>
    </row>
    <row r="130" spans="1:15" s="12" customFormat="1" ht="6.95" customHeight="1" thickBot="1">
      <c r="A130" s="108"/>
      <c r="B130" s="38"/>
      <c r="C130" s="104"/>
      <c r="D130" s="69"/>
      <c r="G130" s="41"/>
      <c r="H130" s="41"/>
      <c r="I130" s="41"/>
      <c r="J130" s="16"/>
      <c r="K130" s="86"/>
      <c r="L130" s="10"/>
      <c r="M130" s="11"/>
      <c r="O130" s="3"/>
    </row>
    <row r="131" spans="1:15">
      <c r="A131" s="17"/>
      <c r="C131" s="45"/>
      <c r="D131" s="69"/>
      <c r="G131" s="45"/>
      <c r="H131" s="45"/>
      <c r="I131" s="45"/>
      <c r="J131" s="45"/>
      <c r="L131" s="45"/>
      <c r="M131" s="45"/>
    </row>
    <row r="132" spans="1:15">
      <c r="A132" s="17"/>
      <c r="B132" s="17"/>
      <c r="C132" s="123"/>
      <c r="D132" s="69"/>
      <c r="G132" s="45"/>
      <c r="H132" s="45"/>
      <c r="I132" s="45"/>
      <c r="J132" s="45"/>
      <c r="L132" s="45"/>
      <c r="M132" s="45"/>
    </row>
    <row r="133" spans="1:15">
      <c r="A133" s="13"/>
      <c r="B133" s="70" t="s">
        <v>161</v>
      </c>
      <c r="C133" s="123"/>
      <c r="D133" s="69"/>
      <c r="E133" s="40"/>
      <c r="G133" s="45"/>
      <c r="H133" s="45"/>
      <c r="J133" s="45"/>
      <c r="L133" s="45"/>
      <c r="M133" s="45"/>
    </row>
    <row r="134" spans="1:15">
      <c r="A134" s="13"/>
      <c r="B134" s="17"/>
      <c r="C134" s="45"/>
      <c r="D134" s="69"/>
      <c r="E134" s="45"/>
      <c r="F134" s="45"/>
      <c r="G134" s="45"/>
      <c r="H134" s="45"/>
      <c r="I134" s="45"/>
      <c r="J134" s="45"/>
      <c r="L134" s="45"/>
      <c r="M134" s="45"/>
    </row>
    <row r="135" spans="1:15">
      <c r="A135" s="13"/>
      <c r="B135" s="17"/>
      <c r="C135" s="45"/>
      <c r="D135" s="69"/>
      <c r="E135" s="45"/>
      <c r="F135" s="45"/>
      <c r="G135" s="45"/>
      <c r="H135" s="45"/>
      <c r="I135" s="45"/>
      <c r="J135" s="45"/>
      <c r="L135" s="45"/>
      <c r="M135" s="45"/>
    </row>
    <row r="136" spans="1:15">
      <c r="A136" s="13"/>
      <c r="B136" s="17"/>
      <c r="C136" s="45"/>
      <c r="D136" s="69"/>
      <c r="E136" s="45"/>
      <c r="F136" s="45"/>
      <c r="G136" s="45"/>
      <c r="H136" s="45"/>
      <c r="I136" s="45"/>
      <c r="J136" s="45"/>
      <c r="L136" s="45"/>
      <c r="M136" s="45"/>
    </row>
    <row r="137" spans="1:15">
      <c r="A137" s="13"/>
      <c r="B137" s="17"/>
      <c r="C137" s="45"/>
      <c r="E137" s="45"/>
      <c r="F137" s="45"/>
      <c r="G137" s="45"/>
      <c r="H137" s="45"/>
      <c r="I137" s="45"/>
      <c r="J137" s="45"/>
      <c r="L137" s="45"/>
      <c r="M137" s="45"/>
    </row>
    <row r="138" spans="1:15">
      <c r="A138" s="66"/>
      <c r="B138" s="17"/>
      <c r="C138" s="45"/>
      <c r="D138" s="16"/>
      <c r="E138" s="40"/>
      <c r="F138" s="40"/>
      <c r="G138" s="45"/>
      <c r="H138" s="45"/>
      <c r="I138" s="45"/>
      <c r="J138" s="45"/>
      <c r="L138" s="45"/>
      <c r="M138" s="45"/>
    </row>
    <row r="139" spans="1:15">
      <c r="A139" s="66"/>
      <c r="B139" s="45"/>
      <c r="C139" s="45"/>
      <c r="D139" s="45"/>
      <c r="E139" s="40"/>
      <c r="F139" s="40"/>
      <c r="G139" s="45"/>
      <c r="H139" s="45"/>
      <c r="I139" s="45"/>
      <c r="J139" s="45"/>
      <c r="L139" s="45"/>
      <c r="M139" s="45"/>
    </row>
    <row r="140" spans="1:15" ht="18.75">
      <c r="A140" s="66"/>
      <c r="B140" s="46" t="s">
        <v>124</v>
      </c>
      <c r="D140" s="112" t="s">
        <v>138</v>
      </c>
      <c r="E140" s="46"/>
      <c r="F140" s="46"/>
      <c r="I140" s="113" t="s">
        <v>127</v>
      </c>
      <c r="K140" s="88"/>
      <c r="L140" s="51"/>
      <c r="M140" s="46"/>
    </row>
    <row r="141" spans="1:15" s="115" customFormat="1" ht="15.75">
      <c r="A141" s="114"/>
      <c r="B141" s="56" t="s">
        <v>125</v>
      </c>
      <c r="D141" s="116" t="s">
        <v>126</v>
      </c>
      <c r="E141" s="56"/>
      <c r="F141" s="56"/>
      <c r="I141" s="117" t="s">
        <v>123</v>
      </c>
      <c r="K141" s="118"/>
      <c r="L141" s="56"/>
      <c r="M141" s="56"/>
    </row>
    <row r="142" spans="1:15" ht="18.75">
      <c r="A142" s="66"/>
      <c r="B142" s="47"/>
      <c r="C142" s="71"/>
      <c r="D142" s="51"/>
      <c r="E142" s="47"/>
      <c r="F142" s="47"/>
      <c r="G142" s="47"/>
      <c r="H142" s="47"/>
      <c r="I142" s="51"/>
      <c r="J142" s="71"/>
      <c r="K142" s="88"/>
      <c r="L142" s="47"/>
      <c r="M142" s="47"/>
    </row>
    <row r="143" spans="1:15" ht="18.75">
      <c r="A143" s="66"/>
      <c r="B143" s="47"/>
      <c r="C143" s="47"/>
      <c r="D143" s="47"/>
      <c r="F143" s="47"/>
      <c r="G143" s="47"/>
      <c r="H143" s="47"/>
      <c r="I143" s="112"/>
      <c r="J143" s="47"/>
      <c r="K143" s="88"/>
      <c r="M143" s="47"/>
    </row>
  </sheetData>
  <mergeCells count="3">
    <mergeCell ref="A6:A7"/>
    <mergeCell ref="B6:B7"/>
    <mergeCell ref="K6:K7"/>
  </mergeCells>
  <printOptions horizontalCentered="1"/>
  <pageMargins left="0" right="0" top="0.78740157480314965" bottom="0.86614173228346458" header="0.31496062992125984" footer="0.31496062992125984"/>
  <pageSetup scale="5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showGridLines="0" zoomScale="75" zoomScaleNormal="75" workbookViewId="0"/>
  </sheetViews>
  <sheetFormatPr baseColWidth="10" defaultColWidth="11.42578125" defaultRowHeight="18"/>
  <cols>
    <col min="1" max="1" width="10.7109375" style="3" customWidth="1"/>
    <col min="2" max="2" width="64.7109375" style="3" customWidth="1"/>
    <col min="3" max="3" width="19.5703125" style="3" customWidth="1"/>
    <col min="4" max="9" width="16.42578125" style="3" customWidth="1"/>
    <col min="10" max="10" width="19.28515625" style="3" customWidth="1"/>
    <col min="11" max="11" width="19.28515625" style="87" customWidth="1"/>
    <col min="12" max="12" width="19.28515625" style="3" customWidth="1"/>
    <col min="13" max="13" width="12.7109375" style="3" customWidth="1"/>
    <col min="14" max="14" width="7" style="3" customWidth="1"/>
    <col min="15" max="15" width="19.5703125" style="3" bestFit="1" customWidth="1"/>
    <col min="16" max="16" width="15.42578125" style="3" bestFit="1" customWidth="1"/>
    <col min="17" max="16384" width="11.42578125" style="3"/>
  </cols>
  <sheetData>
    <row r="1" spans="1:1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80"/>
      <c r="L1" s="42"/>
      <c r="M1" s="42"/>
    </row>
    <row r="2" spans="1:1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80"/>
      <c r="L2" s="42"/>
      <c r="M2" s="42"/>
    </row>
    <row r="3" spans="1:15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80"/>
      <c r="L3" s="42"/>
      <c r="M3" s="42"/>
    </row>
    <row r="4" spans="1:15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80"/>
      <c r="L4" s="42"/>
      <c r="M4" s="42"/>
    </row>
    <row r="5" spans="1:15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80"/>
      <c r="L5" s="42"/>
      <c r="M5" s="42"/>
    </row>
    <row r="6" spans="1:15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1" t="s">
        <v>1</v>
      </c>
      <c r="K6" s="188" t="s">
        <v>2</v>
      </c>
      <c r="L6" s="2" t="s">
        <v>27</v>
      </c>
      <c r="M6" s="1" t="s">
        <v>29</v>
      </c>
    </row>
    <row r="7" spans="1:15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4" t="s">
        <v>4</v>
      </c>
      <c r="K7" s="189"/>
      <c r="L7" s="6" t="s">
        <v>28</v>
      </c>
      <c r="M7" s="7" t="s">
        <v>30</v>
      </c>
    </row>
    <row r="8" spans="1:15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81"/>
      <c r="L8" s="74"/>
      <c r="M8" s="43"/>
    </row>
    <row r="9" spans="1:15">
      <c r="A9" s="78"/>
      <c r="B9" s="79"/>
      <c r="C9" s="43"/>
      <c r="D9" s="43"/>
      <c r="E9" s="43"/>
      <c r="F9" s="43"/>
      <c r="G9" s="43"/>
      <c r="H9" s="43"/>
      <c r="I9" s="43"/>
      <c r="J9" s="43"/>
      <c r="K9" s="81"/>
      <c r="L9" s="74"/>
      <c r="M9" s="43"/>
    </row>
    <row r="10" spans="1:15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33">
        <f t="shared" ref="J10:J17" si="0">C10+D10-E10+F10-G10+H10-I10</f>
        <v>656637.59</v>
      </c>
      <c r="K10" s="49">
        <v>0</v>
      </c>
      <c r="L10" s="74">
        <f t="shared" ref="L10:L15" si="1">J10-K10+I10</f>
        <v>656637.59</v>
      </c>
      <c r="M10" s="57">
        <f>K10/K18</f>
        <v>0</v>
      </c>
    </row>
    <row r="11" spans="1:15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33">
        <f t="shared" si="0"/>
        <v>90000</v>
      </c>
      <c r="K11" s="49">
        <f>6885+7250+5010+5735+2005+6610+400+7470+800+3895+935+2335</f>
        <v>49330</v>
      </c>
      <c r="L11" s="72">
        <f t="shared" si="1"/>
        <v>40670</v>
      </c>
      <c r="M11" s="57">
        <f>K11/K18</f>
        <v>1.8142215640500829E-2</v>
      </c>
    </row>
    <row r="12" spans="1:15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33">
        <f t="shared" si="0"/>
        <v>4000</v>
      </c>
      <c r="K12" s="49">
        <f>154.29+74.21+47.84+63.83+246.6+43.51</f>
        <v>630.28</v>
      </c>
      <c r="L12" s="72">
        <f t="shared" si="1"/>
        <v>3369.7200000000003</v>
      </c>
      <c r="M12" s="57">
        <f>K12/K18</f>
        <v>2.3179962849979448E-4</v>
      </c>
    </row>
    <row r="13" spans="1:15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33">
        <f t="shared" si="0"/>
        <v>2345924.88</v>
      </c>
      <c r="K13" s="49">
        <f>195493.74+40518.88+404398.5+199964.08+198363.1+3864.56+199964.08</f>
        <v>1242566.94</v>
      </c>
      <c r="L13" s="72">
        <f t="shared" si="1"/>
        <v>1103357.94</v>
      </c>
      <c r="M13" s="57">
        <f>K13/K18</f>
        <v>0.45698190499163294</v>
      </c>
      <c r="O13" s="58"/>
    </row>
    <row r="14" spans="1:15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33">
        <f t="shared" si="0"/>
        <v>4496358.8600000003</v>
      </c>
      <c r="K14" s="49">
        <v>0</v>
      </c>
      <c r="L14" s="72">
        <f t="shared" si="1"/>
        <v>4496358.8600000003</v>
      </c>
      <c r="M14" s="57">
        <f>K14/K18</f>
        <v>0</v>
      </c>
      <c r="O14" s="58"/>
    </row>
    <row r="15" spans="1:15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33">
        <f t="shared" si="0"/>
        <v>2969280.92</v>
      </c>
      <c r="K15" s="49">
        <f>174488.09+436428.77+714931.38+46144.8+35496.86+19055.4</f>
        <v>1426545.3</v>
      </c>
      <c r="L15" s="74">
        <f t="shared" si="1"/>
        <v>1542735.6199999999</v>
      </c>
      <c r="M15" s="57">
        <v>0</v>
      </c>
      <c r="O15" s="58"/>
    </row>
    <row r="16" spans="1:15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33">
        <f>C16+D16-E16+F16-G16+H16-I16</f>
        <v>15000</v>
      </c>
      <c r="K16" s="49">
        <v>0</v>
      </c>
      <c r="L16" s="74">
        <f>J16-K16+I16</f>
        <v>15000</v>
      </c>
      <c r="M16" s="57">
        <v>0</v>
      </c>
      <c r="O16" s="58"/>
    </row>
    <row r="17" spans="1:15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33">
        <f t="shared" si="0"/>
        <v>0</v>
      </c>
      <c r="K17" s="49">
        <v>0</v>
      </c>
      <c r="L17" s="75">
        <f>-K17+I17</f>
        <v>0</v>
      </c>
      <c r="M17" s="61">
        <f>K17/K18</f>
        <v>0</v>
      </c>
      <c r="O17" s="58"/>
    </row>
    <row r="18" spans="1:15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5">
        <f>ROUND((SUM(J10:J17)),2)</f>
        <v>10577202.25</v>
      </c>
      <c r="K18" s="95">
        <f>ROUND((SUM(K10:K17)),2)</f>
        <v>2719072.52</v>
      </c>
      <c r="L18" s="95">
        <f>ROUND((SUM(L10:L17)),2)</f>
        <v>7858129.7300000004</v>
      </c>
      <c r="M18" s="96">
        <f>SUM(M17:M17)</f>
        <v>0</v>
      </c>
      <c r="O18" s="58"/>
    </row>
    <row r="19" spans="1:15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82"/>
      <c r="L19" s="43"/>
      <c r="M19" s="43"/>
      <c r="O19" s="58"/>
    </row>
    <row r="20" spans="1:15">
      <c r="A20" s="78" t="s">
        <v>5</v>
      </c>
      <c r="B20" s="79" t="s">
        <v>102</v>
      </c>
      <c r="C20" s="43"/>
      <c r="D20" s="43"/>
      <c r="E20" s="43"/>
      <c r="F20" s="43"/>
      <c r="G20" s="43"/>
      <c r="H20" s="43"/>
      <c r="I20" s="43"/>
      <c r="J20" s="43"/>
      <c r="K20" s="82"/>
      <c r="L20" s="43"/>
      <c r="M20" s="43"/>
      <c r="O20" s="58"/>
    </row>
    <row r="21" spans="1:15">
      <c r="A21" s="23">
        <v>0</v>
      </c>
      <c r="B21" s="23" t="s">
        <v>9</v>
      </c>
      <c r="C21" s="33"/>
      <c r="D21" s="33"/>
      <c r="E21" s="33"/>
      <c r="F21" s="33"/>
      <c r="G21" s="33"/>
      <c r="H21" s="33"/>
      <c r="I21" s="33"/>
      <c r="J21" s="33"/>
      <c r="K21" s="81"/>
      <c r="L21" s="49"/>
      <c r="M21" s="53"/>
      <c r="O21" s="58"/>
    </row>
    <row r="22" spans="1:15">
      <c r="A22" s="19" t="s">
        <v>13</v>
      </c>
      <c r="B22" s="20" t="s">
        <v>79</v>
      </c>
      <c r="C22" s="33">
        <v>669886</v>
      </c>
      <c r="D22" s="33"/>
      <c r="E22" s="33"/>
      <c r="F22" s="33"/>
      <c r="G22" s="33"/>
      <c r="H22" s="33"/>
      <c r="I22" s="33"/>
      <c r="J22" s="33">
        <f t="shared" ref="J22:J69" si="2">C22+D22-E22+F22-G22+H22-I22</f>
        <v>669886</v>
      </c>
      <c r="K22" s="49">
        <v>308531.67</v>
      </c>
      <c r="L22" s="49">
        <f>J22-K22</f>
        <v>361354.33</v>
      </c>
      <c r="M22" s="53">
        <f t="shared" ref="M22:M33" si="3">K22/$K$114</f>
        <v>0.12759424688334553</v>
      </c>
      <c r="O22" s="58"/>
    </row>
    <row r="23" spans="1:15">
      <c r="A23" s="19" t="s">
        <v>31</v>
      </c>
      <c r="B23" s="20" t="s">
        <v>32</v>
      </c>
      <c r="C23" s="33">
        <v>4500</v>
      </c>
      <c r="D23" s="33"/>
      <c r="E23" s="33"/>
      <c r="F23" s="33"/>
      <c r="G23" s="33"/>
      <c r="H23" s="33"/>
      <c r="I23" s="33"/>
      <c r="J23" s="33">
        <f t="shared" si="2"/>
        <v>4500</v>
      </c>
      <c r="K23" s="49">
        <v>2250</v>
      </c>
      <c r="L23" s="49">
        <f t="shared" ref="L23:L69" si="4">J23-K23</f>
        <v>2250</v>
      </c>
      <c r="M23" s="53">
        <f t="shared" si="3"/>
        <v>9.3049460850332631E-4</v>
      </c>
      <c r="O23" s="58"/>
    </row>
    <row r="24" spans="1:15">
      <c r="A24" s="19" t="s">
        <v>14</v>
      </c>
      <c r="B24" s="20" t="s">
        <v>38</v>
      </c>
      <c r="C24" s="33">
        <v>112250</v>
      </c>
      <c r="D24" s="33"/>
      <c r="E24" s="33"/>
      <c r="F24" s="33"/>
      <c r="G24" s="33"/>
      <c r="H24" s="33"/>
      <c r="I24" s="33"/>
      <c r="J24" s="33">
        <f t="shared" si="2"/>
        <v>112250</v>
      </c>
      <c r="K24" s="49">
        <v>49250</v>
      </c>
      <c r="L24" s="49">
        <f t="shared" si="4"/>
        <v>63000</v>
      </c>
      <c r="M24" s="53">
        <f t="shared" si="3"/>
        <v>2.0367493097239474E-2</v>
      </c>
      <c r="O24" s="58"/>
    </row>
    <row r="25" spans="1:15" hidden="1">
      <c r="A25" s="19" t="s">
        <v>114</v>
      </c>
      <c r="B25" s="20" t="s">
        <v>115</v>
      </c>
      <c r="C25" s="33"/>
      <c r="D25" s="33"/>
      <c r="E25" s="33"/>
      <c r="F25" s="33"/>
      <c r="G25" s="33"/>
      <c r="H25" s="33"/>
      <c r="I25" s="33"/>
      <c r="J25" s="33">
        <f t="shared" si="2"/>
        <v>0</v>
      </c>
      <c r="K25" s="49"/>
      <c r="L25" s="49">
        <f t="shared" si="4"/>
        <v>0</v>
      </c>
      <c r="M25" s="53">
        <f t="shared" si="3"/>
        <v>0</v>
      </c>
      <c r="O25" s="58"/>
    </row>
    <row r="26" spans="1:15">
      <c r="A26" s="19" t="s">
        <v>116</v>
      </c>
      <c r="B26" s="20" t="s">
        <v>117</v>
      </c>
      <c r="C26" s="33">
        <v>0</v>
      </c>
      <c r="D26" s="33"/>
      <c r="E26" s="33"/>
      <c r="F26" s="33"/>
      <c r="G26" s="33"/>
      <c r="H26" s="33"/>
      <c r="I26" s="33"/>
      <c r="J26" s="33">
        <f t="shared" si="2"/>
        <v>0</v>
      </c>
      <c r="K26" s="49">
        <v>0</v>
      </c>
      <c r="L26" s="49">
        <f t="shared" si="4"/>
        <v>0</v>
      </c>
      <c r="M26" s="53">
        <f t="shared" si="3"/>
        <v>0</v>
      </c>
      <c r="O26" s="58"/>
    </row>
    <row r="27" spans="1:15">
      <c r="A27" s="19" t="s">
        <v>88</v>
      </c>
      <c r="B27" s="20" t="s">
        <v>89</v>
      </c>
      <c r="C27" s="33">
        <v>15400</v>
      </c>
      <c r="D27" s="33"/>
      <c r="E27" s="33"/>
      <c r="F27" s="33"/>
      <c r="G27" s="33"/>
      <c r="H27" s="33"/>
      <c r="I27" s="33"/>
      <c r="J27" s="33">
        <f t="shared" si="2"/>
        <v>15400</v>
      </c>
      <c r="K27" s="49">
        <v>0</v>
      </c>
      <c r="L27" s="49">
        <f t="shared" si="4"/>
        <v>15400</v>
      </c>
      <c r="M27" s="53">
        <f t="shared" si="3"/>
        <v>0</v>
      </c>
      <c r="O27" s="58"/>
    </row>
    <row r="28" spans="1:15">
      <c r="A28" s="19" t="s">
        <v>20</v>
      </c>
      <c r="B28" s="20" t="s">
        <v>21</v>
      </c>
      <c r="C28" s="33">
        <v>31068.6</v>
      </c>
      <c r="D28" s="33"/>
      <c r="E28" s="33"/>
      <c r="F28" s="33"/>
      <c r="G28" s="33"/>
      <c r="H28" s="33"/>
      <c r="I28" s="33"/>
      <c r="J28" s="33">
        <f t="shared" si="2"/>
        <v>31068.6</v>
      </c>
      <c r="K28" s="49">
        <v>13955.98</v>
      </c>
      <c r="L28" s="49">
        <f t="shared" si="4"/>
        <v>17112.62</v>
      </c>
      <c r="M28" s="53">
        <f t="shared" si="3"/>
        <v>5.7715396206134452E-3</v>
      </c>
      <c r="O28" s="58"/>
    </row>
    <row r="29" spans="1:15">
      <c r="A29" s="19" t="s">
        <v>15</v>
      </c>
      <c r="B29" s="20" t="s">
        <v>110</v>
      </c>
      <c r="C29" s="33">
        <v>94901</v>
      </c>
      <c r="D29" s="33"/>
      <c r="E29" s="33"/>
      <c r="F29" s="33"/>
      <c r="G29" s="33"/>
      <c r="H29" s="33"/>
      <c r="I29" s="33"/>
      <c r="J29" s="33">
        <f t="shared" si="2"/>
        <v>94901</v>
      </c>
      <c r="K29" s="49">
        <v>28620.33</v>
      </c>
      <c r="L29" s="49">
        <f t="shared" si="4"/>
        <v>66280.67</v>
      </c>
      <c r="M29" s="53">
        <f t="shared" si="3"/>
        <v>1.1836027892704892E-2</v>
      </c>
      <c r="O29" s="58"/>
    </row>
    <row r="30" spans="1:15">
      <c r="A30" s="19" t="s">
        <v>16</v>
      </c>
      <c r="B30" s="20" t="s">
        <v>111</v>
      </c>
      <c r="C30" s="33">
        <v>8132.05</v>
      </c>
      <c r="D30" s="33"/>
      <c r="E30" s="33"/>
      <c r="F30" s="33"/>
      <c r="G30" s="33"/>
      <c r="H30" s="33"/>
      <c r="I30" s="33"/>
      <c r="J30" s="33">
        <f t="shared" si="2"/>
        <v>8132.05</v>
      </c>
      <c r="K30" s="49">
        <v>2682.32</v>
      </c>
      <c r="L30" s="49">
        <f t="shared" si="4"/>
        <v>5449.73</v>
      </c>
      <c r="M30" s="53">
        <f t="shared" si="3"/>
        <v>1.1092819103469521E-3</v>
      </c>
      <c r="O30" s="58"/>
    </row>
    <row r="31" spans="1:15">
      <c r="A31" s="19" t="s">
        <v>17</v>
      </c>
      <c r="B31" s="21" t="s">
        <v>77</v>
      </c>
      <c r="C31" s="33">
        <v>59303</v>
      </c>
      <c r="D31" s="33"/>
      <c r="E31" s="33"/>
      <c r="F31" s="33"/>
      <c r="G31" s="33"/>
      <c r="H31" s="33"/>
      <c r="I31" s="33"/>
      <c r="J31" s="33">
        <f t="shared" si="2"/>
        <v>59303</v>
      </c>
      <c r="K31" s="49">
        <v>0</v>
      </c>
      <c r="L31" s="49">
        <f t="shared" si="4"/>
        <v>59303</v>
      </c>
      <c r="M31" s="53">
        <f t="shared" si="3"/>
        <v>0</v>
      </c>
      <c r="O31" s="58"/>
    </row>
    <row r="32" spans="1:15">
      <c r="A32" s="19" t="s">
        <v>18</v>
      </c>
      <c r="B32" s="20" t="s">
        <v>80</v>
      </c>
      <c r="C32" s="33">
        <v>59303</v>
      </c>
      <c r="D32" s="33"/>
      <c r="E32" s="33"/>
      <c r="F32" s="33"/>
      <c r="G32" s="33"/>
      <c r="H32" s="33"/>
      <c r="I32" s="33"/>
      <c r="J32" s="33">
        <f t="shared" si="2"/>
        <v>59303</v>
      </c>
      <c r="K32" s="49">
        <v>0</v>
      </c>
      <c r="L32" s="49">
        <f t="shared" si="4"/>
        <v>59303</v>
      </c>
      <c r="M32" s="53">
        <f t="shared" si="3"/>
        <v>0</v>
      </c>
      <c r="O32" s="58"/>
    </row>
    <row r="33" spans="1:15">
      <c r="A33" s="19" t="s">
        <v>19</v>
      </c>
      <c r="B33" s="20" t="s">
        <v>78</v>
      </c>
      <c r="C33" s="33">
        <v>4000</v>
      </c>
      <c r="D33" s="33"/>
      <c r="E33" s="33"/>
      <c r="F33" s="33"/>
      <c r="G33" s="33"/>
      <c r="H33" s="33"/>
      <c r="I33" s="33"/>
      <c r="J33" s="33">
        <f t="shared" si="2"/>
        <v>4000</v>
      </c>
      <c r="K33" s="49">
        <v>0</v>
      </c>
      <c r="L33" s="49">
        <f t="shared" si="4"/>
        <v>4000</v>
      </c>
      <c r="M33" s="53">
        <f t="shared" si="3"/>
        <v>0</v>
      </c>
      <c r="O33" s="58"/>
    </row>
    <row r="34" spans="1:15">
      <c r="A34" s="19"/>
      <c r="B34" s="20"/>
      <c r="C34" s="33"/>
      <c r="D34" s="33"/>
      <c r="E34" s="33"/>
      <c r="F34" s="33"/>
      <c r="G34" s="33"/>
      <c r="H34" s="33"/>
      <c r="I34" s="33"/>
      <c r="J34" s="33"/>
      <c r="K34" s="81"/>
      <c r="L34" s="49"/>
      <c r="M34" s="53"/>
      <c r="O34" s="58"/>
    </row>
    <row r="35" spans="1:15">
      <c r="A35" s="23">
        <v>1</v>
      </c>
      <c r="B35" s="23" t="s">
        <v>10</v>
      </c>
      <c r="C35" s="33"/>
      <c r="D35" s="33"/>
      <c r="E35" s="33"/>
      <c r="F35" s="33"/>
      <c r="G35" s="33"/>
      <c r="H35" s="33"/>
      <c r="I35" s="33"/>
      <c r="J35" s="33"/>
      <c r="K35" s="83"/>
      <c r="L35" s="49"/>
      <c r="M35" s="53"/>
      <c r="O35" s="58"/>
    </row>
    <row r="36" spans="1:15">
      <c r="A36" s="24">
        <v>111</v>
      </c>
      <c r="B36" s="20" t="s">
        <v>39</v>
      </c>
      <c r="C36" s="33">
        <v>13125</v>
      </c>
      <c r="D36" s="33"/>
      <c r="E36" s="33"/>
      <c r="F36" s="33"/>
      <c r="G36" s="33"/>
      <c r="H36" s="33"/>
      <c r="I36" s="33"/>
      <c r="J36" s="33">
        <f t="shared" si="2"/>
        <v>13125</v>
      </c>
      <c r="K36" s="49">
        <v>4484.5600000000004</v>
      </c>
      <c r="L36" s="49">
        <f t="shared" si="4"/>
        <v>8640.4399999999987</v>
      </c>
      <c r="M36" s="53">
        <f t="shared" ref="M36:M69" si="5">K36/$K$114</f>
        <v>1.8546039562265233E-3</v>
      </c>
      <c r="O36" s="58"/>
    </row>
    <row r="37" spans="1:15">
      <c r="A37" s="24">
        <v>113</v>
      </c>
      <c r="B37" s="20" t="s">
        <v>48</v>
      </c>
      <c r="C37" s="33">
        <v>24780</v>
      </c>
      <c r="D37" s="33"/>
      <c r="E37" s="33"/>
      <c r="F37" s="33"/>
      <c r="G37" s="33"/>
      <c r="H37" s="33"/>
      <c r="I37" s="33"/>
      <c r="J37" s="33">
        <f t="shared" si="2"/>
        <v>24780</v>
      </c>
      <c r="K37" s="49">
        <v>11000</v>
      </c>
      <c r="L37" s="49">
        <f t="shared" si="4"/>
        <v>13780</v>
      </c>
      <c r="M37" s="53">
        <f t="shared" si="5"/>
        <v>4.5490847526829283E-3</v>
      </c>
      <c r="O37" s="58"/>
    </row>
    <row r="38" spans="1:15">
      <c r="A38" s="24">
        <v>114</v>
      </c>
      <c r="B38" s="20" t="s">
        <v>109</v>
      </c>
      <c r="C38" s="33">
        <v>2500</v>
      </c>
      <c r="D38" s="33"/>
      <c r="E38" s="33"/>
      <c r="F38" s="33"/>
      <c r="G38" s="33"/>
      <c r="H38" s="33"/>
      <c r="I38" s="33"/>
      <c r="J38" s="33">
        <f t="shared" si="2"/>
        <v>2500</v>
      </c>
      <c r="K38" s="49">
        <v>533.79</v>
      </c>
      <c r="L38" s="49">
        <f t="shared" si="4"/>
        <v>1966.21</v>
      </c>
      <c r="M38" s="53">
        <f t="shared" si="5"/>
        <v>2.207505409213291E-4</v>
      </c>
      <c r="O38" s="58"/>
    </row>
    <row r="39" spans="1:15">
      <c r="A39" s="24">
        <v>121</v>
      </c>
      <c r="B39" s="20" t="s">
        <v>155</v>
      </c>
      <c r="C39" s="33">
        <v>12250</v>
      </c>
      <c r="D39" s="33"/>
      <c r="E39" s="33"/>
      <c r="F39" s="33"/>
      <c r="G39" s="33"/>
      <c r="H39" s="33"/>
      <c r="I39" s="33"/>
      <c r="J39" s="33">
        <f t="shared" si="2"/>
        <v>12250</v>
      </c>
      <c r="K39" s="49">
        <v>3656</v>
      </c>
      <c r="L39" s="49">
        <f t="shared" si="4"/>
        <v>8594</v>
      </c>
      <c r="M39" s="53">
        <f t="shared" si="5"/>
        <v>1.5119503505280716E-3</v>
      </c>
      <c r="O39" s="58"/>
    </row>
    <row r="40" spans="1:15">
      <c r="A40" s="24">
        <v>122</v>
      </c>
      <c r="B40" s="20" t="s">
        <v>81</v>
      </c>
      <c r="C40" s="33">
        <v>29000</v>
      </c>
      <c r="D40" s="33"/>
      <c r="E40" s="33"/>
      <c r="F40" s="33"/>
      <c r="G40" s="33"/>
      <c r="H40" s="33"/>
      <c r="I40" s="33"/>
      <c r="J40" s="33">
        <f t="shared" si="2"/>
        <v>29000</v>
      </c>
      <c r="K40" s="49">
        <v>18526.5</v>
      </c>
      <c r="L40" s="49">
        <f t="shared" si="4"/>
        <v>10473.5</v>
      </c>
      <c r="M40" s="53">
        <f t="shared" si="5"/>
        <v>7.6616926064163888E-3</v>
      </c>
      <c r="N40" s="63"/>
      <c r="O40" s="58"/>
    </row>
    <row r="41" spans="1:15">
      <c r="A41" s="24">
        <v>131</v>
      </c>
      <c r="B41" s="20" t="s">
        <v>51</v>
      </c>
      <c r="C41" s="33">
        <v>1251963.1500000001</v>
      </c>
      <c r="D41" s="33">
        <v>250000</v>
      </c>
      <c r="E41" s="33"/>
      <c r="F41" s="33"/>
      <c r="G41" s="33"/>
      <c r="H41" s="33"/>
      <c r="I41" s="33"/>
      <c r="J41" s="33">
        <f t="shared" si="2"/>
        <v>1501963.1500000001</v>
      </c>
      <c r="K41" s="49">
        <v>1027233.84</v>
      </c>
      <c r="L41" s="49">
        <f t="shared" si="4"/>
        <v>474729.31000000017</v>
      </c>
      <c r="M41" s="53">
        <f t="shared" si="5"/>
        <v>0.42481579990763041</v>
      </c>
      <c r="O41" s="58"/>
    </row>
    <row r="42" spans="1:15">
      <c r="A42" s="24">
        <v>133</v>
      </c>
      <c r="B42" s="20" t="s">
        <v>52</v>
      </c>
      <c r="C42" s="33">
        <v>1500</v>
      </c>
      <c r="D42" s="33"/>
      <c r="E42" s="33"/>
      <c r="F42" s="33"/>
      <c r="G42" s="33"/>
      <c r="H42" s="33"/>
      <c r="I42" s="33"/>
      <c r="J42" s="33">
        <f t="shared" si="2"/>
        <v>1500</v>
      </c>
      <c r="K42" s="49">
        <v>0</v>
      </c>
      <c r="L42" s="49">
        <f t="shared" si="4"/>
        <v>1500</v>
      </c>
      <c r="M42" s="53">
        <f t="shared" si="5"/>
        <v>0</v>
      </c>
      <c r="O42" s="58"/>
    </row>
    <row r="43" spans="1:15" hidden="1">
      <c r="A43" s="24">
        <v>134</v>
      </c>
      <c r="B43" s="20" t="s">
        <v>82</v>
      </c>
      <c r="C43" s="33">
        <v>0</v>
      </c>
      <c r="D43" s="33"/>
      <c r="E43" s="33"/>
      <c r="F43" s="33"/>
      <c r="G43" s="33"/>
      <c r="H43" s="33"/>
      <c r="I43" s="33"/>
      <c r="J43" s="33">
        <f t="shared" si="2"/>
        <v>0</v>
      </c>
      <c r="K43" s="49">
        <v>0</v>
      </c>
      <c r="L43" s="49">
        <f t="shared" si="4"/>
        <v>0</v>
      </c>
      <c r="M43" s="53">
        <f t="shared" si="5"/>
        <v>0</v>
      </c>
      <c r="O43" s="58"/>
    </row>
    <row r="44" spans="1:15">
      <c r="A44" s="24">
        <v>135</v>
      </c>
      <c r="B44" s="20" t="s">
        <v>90</v>
      </c>
      <c r="C44" s="33">
        <v>100840.04999999999</v>
      </c>
      <c r="D44" s="33">
        <v>15000</v>
      </c>
      <c r="E44" s="33"/>
      <c r="F44" s="33"/>
      <c r="G44" s="33"/>
      <c r="H44" s="33"/>
      <c r="I44" s="33"/>
      <c r="J44" s="33">
        <f t="shared" si="2"/>
        <v>115840.04999999999</v>
      </c>
      <c r="K44" s="49">
        <v>85639.19</v>
      </c>
      <c r="L44" s="49">
        <f t="shared" si="4"/>
        <v>30200.859999999986</v>
      </c>
      <c r="M44" s="53">
        <f t="shared" si="5"/>
        <v>3.5416357587374214E-2</v>
      </c>
      <c r="O44" s="58"/>
    </row>
    <row r="45" spans="1:15">
      <c r="A45" s="24">
        <v>141</v>
      </c>
      <c r="B45" s="20" t="s">
        <v>71</v>
      </c>
      <c r="C45" s="33">
        <v>846850</v>
      </c>
      <c r="D45" s="33"/>
      <c r="E45" s="33">
        <v>210000</v>
      </c>
      <c r="F45" s="33"/>
      <c r="G45" s="33"/>
      <c r="H45" s="33"/>
      <c r="I45" s="33"/>
      <c r="J45" s="33">
        <f t="shared" si="2"/>
        <v>636850</v>
      </c>
      <c r="K45" s="49">
        <v>375549.35</v>
      </c>
      <c r="L45" s="49">
        <f t="shared" si="4"/>
        <v>261300.65000000002</v>
      </c>
      <c r="M45" s="53">
        <f t="shared" si="5"/>
        <v>0.15530962017863495</v>
      </c>
      <c r="O45" s="58"/>
    </row>
    <row r="46" spans="1:15">
      <c r="A46" s="24">
        <v>142</v>
      </c>
      <c r="B46" s="20" t="s">
        <v>22</v>
      </c>
      <c r="C46" s="33">
        <v>16000</v>
      </c>
      <c r="D46" s="33"/>
      <c r="E46" s="33"/>
      <c r="F46" s="33"/>
      <c r="G46" s="33"/>
      <c r="H46" s="33"/>
      <c r="I46" s="33"/>
      <c r="J46" s="33">
        <f t="shared" si="2"/>
        <v>16000</v>
      </c>
      <c r="K46" s="49">
        <v>0</v>
      </c>
      <c r="L46" s="49">
        <f t="shared" si="4"/>
        <v>16000</v>
      </c>
      <c r="M46" s="53">
        <f t="shared" si="5"/>
        <v>0</v>
      </c>
      <c r="O46" s="58"/>
    </row>
    <row r="47" spans="1:15">
      <c r="A47" s="24">
        <v>143</v>
      </c>
      <c r="B47" s="20" t="s">
        <v>112</v>
      </c>
      <c r="C47" s="33">
        <v>27000</v>
      </c>
      <c r="D47" s="33"/>
      <c r="E47" s="33"/>
      <c r="F47" s="33"/>
      <c r="G47" s="33"/>
      <c r="H47" s="33"/>
      <c r="I47" s="33"/>
      <c r="J47" s="33">
        <f t="shared" si="2"/>
        <v>27000</v>
      </c>
      <c r="K47" s="49">
        <v>0</v>
      </c>
      <c r="L47" s="49">
        <f t="shared" si="4"/>
        <v>27000</v>
      </c>
      <c r="M47" s="53">
        <f t="shared" si="5"/>
        <v>0</v>
      </c>
      <c r="O47" s="58"/>
    </row>
    <row r="48" spans="1:15">
      <c r="A48" s="24">
        <v>151</v>
      </c>
      <c r="B48" s="20" t="s">
        <v>118</v>
      </c>
      <c r="C48" s="33">
        <v>70560</v>
      </c>
      <c r="D48" s="33"/>
      <c r="E48" s="33"/>
      <c r="F48" s="33"/>
      <c r="G48" s="33"/>
      <c r="H48" s="33"/>
      <c r="I48" s="33"/>
      <c r="J48" s="33">
        <f t="shared" si="2"/>
        <v>70560</v>
      </c>
      <c r="K48" s="49">
        <v>35017.5</v>
      </c>
      <c r="L48" s="49">
        <f t="shared" si="4"/>
        <v>35542.5</v>
      </c>
      <c r="M48" s="53">
        <f t="shared" si="5"/>
        <v>1.4481597757006769E-2</v>
      </c>
      <c r="O48" s="58"/>
    </row>
    <row r="49" spans="1:15" hidden="1">
      <c r="A49" s="24">
        <v>155</v>
      </c>
      <c r="B49" s="20" t="s">
        <v>33</v>
      </c>
      <c r="C49" s="33">
        <v>0</v>
      </c>
      <c r="D49" s="33"/>
      <c r="E49" s="33"/>
      <c r="F49" s="33"/>
      <c r="G49" s="33"/>
      <c r="H49" s="33"/>
      <c r="I49" s="33"/>
      <c r="J49" s="33">
        <f t="shared" si="2"/>
        <v>0</v>
      </c>
      <c r="K49" s="49">
        <v>0</v>
      </c>
      <c r="L49" s="49">
        <f t="shared" si="4"/>
        <v>0</v>
      </c>
      <c r="M49" s="53">
        <f t="shared" si="5"/>
        <v>0</v>
      </c>
      <c r="O49" s="58"/>
    </row>
    <row r="50" spans="1:15">
      <c r="A50" s="24">
        <v>158</v>
      </c>
      <c r="B50" s="20" t="s">
        <v>91</v>
      </c>
      <c r="C50" s="33">
        <v>6550</v>
      </c>
      <c r="D50" s="33"/>
      <c r="E50" s="33"/>
      <c r="F50" s="33"/>
      <c r="G50" s="33"/>
      <c r="H50" s="33"/>
      <c r="I50" s="33"/>
      <c r="J50" s="33">
        <f t="shared" si="2"/>
        <v>6550</v>
      </c>
      <c r="K50" s="49">
        <v>1416</v>
      </c>
      <c r="L50" s="49">
        <f t="shared" si="4"/>
        <v>5134</v>
      </c>
      <c r="M50" s="53">
        <f t="shared" si="5"/>
        <v>5.8559127361809335E-4</v>
      </c>
      <c r="O50" s="58"/>
    </row>
    <row r="51" spans="1:15">
      <c r="A51" s="24">
        <v>162</v>
      </c>
      <c r="B51" s="20" t="s">
        <v>53</v>
      </c>
      <c r="C51" s="33">
        <v>2000</v>
      </c>
      <c r="D51" s="33"/>
      <c r="E51" s="33"/>
      <c r="F51" s="33"/>
      <c r="G51" s="33"/>
      <c r="H51" s="33"/>
      <c r="I51" s="33"/>
      <c r="J51" s="33">
        <f t="shared" si="2"/>
        <v>2000</v>
      </c>
      <c r="K51" s="49">
        <v>350</v>
      </c>
      <c r="L51" s="49">
        <f t="shared" si="4"/>
        <v>1650</v>
      </c>
      <c r="M51" s="53">
        <f t="shared" si="5"/>
        <v>1.447436057671841E-4</v>
      </c>
      <c r="O51" s="58"/>
    </row>
    <row r="52" spans="1:15">
      <c r="A52" s="24">
        <v>164</v>
      </c>
      <c r="B52" s="20" t="s">
        <v>40</v>
      </c>
      <c r="C52" s="33">
        <v>20000</v>
      </c>
      <c r="D52" s="33"/>
      <c r="E52" s="33"/>
      <c r="F52" s="33"/>
      <c r="G52" s="33"/>
      <c r="H52" s="33"/>
      <c r="I52" s="33"/>
      <c r="J52" s="33">
        <f t="shared" si="2"/>
        <v>20000</v>
      </c>
      <c r="K52" s="49">
        <v>0</v>
      </c>
      <c r="L52" s="49">
        <f t="shared" si="4"/>
        <v>20000</v>
      </c>
      <c r="M52" s="53">
        <f t="shared" si="5"/>
        <v>0</v>
      </c>
      <c r="O52" s="58"/>
    </row>
    <row r="53" spans="1:15">
      <c r="A53" s="24">
        <v>165</v>
      </c>
      <c r="B53" s="20" t="s">
        <v>92</v>
      </c>
      <c r="C53" s="33">
        <v>6900</v>
      </c>
      <c r="D53" s="33"/>
      <c r="E53" s="33"/>
      <c r="F53" s="33"/>
      <c r="G53" s="33"/>
      <c r="H53" s="33"/>
      <c r="I53" s="33"/>
      <c r="J53" s="33">
        <f t="shared" si="2"/>
        <v>6900</v>
      </c>
      <c r="K53" s="49">
        <v>1492.94</v>
      </c>
      <c r="L53" s="49">
        <f t="shared" si="4"/>
        <v>5407.0599999999995</v>
      </c>
      <c r="M53" s="53">
        <f t="shared" si="5"/>
        <v>6.1741005369731373E-4</v>
      </c>
      <c r="O53" s="58"/>
    </row>
    <row r="54" spans="1:15">
      <c r="A54" s="24">
        <v>168</v>
      </c>
      <c r="B54" s="20" t="s">
        <v>54</v>
      </c>
      <c r="C54" s="33">
        <v>3000</v>
      </c>
      <c r="D54" s="33"/>
      <c r="E54" s="33"/>
      <c r="F54" s="33"/>
      <c r="G54" s="33"/>
      <c r="H54" s="33"/>
      <c r="I54" s="33"/>
      <c r="J54" s="33">
        <f t="shared" si="2"/>
        <v>3000</v>
      </c>
      <c r="K54" s="49">
        <v>0</v>
      </c>
      <c r="L54" s="49">
        <f t="shared" si="4"/>
        <v>3000</v>
      </c>
      <c r="M54" s="53">
        <f t="shared" si="5"/>
        <v>0</v>
      </c>
      <c r="O54" s="58"/>
    </row>
    <row r="55" spans="1:15">
      <c r="A55" s="24">
        <v>174</v>
      </c>
      <c r="B55" s="20" t="s">
        <v>41</v>
      </c>
      <c r="C55" s="33">
        <v>5000</v>
      </c>
      <c r="D55" s="33"/>
      <c r="E55" s="33"/>
      <c r="F55" s="33"/>
      <c r="G55" s="33"/>
      <c r="H55" s="33"/>
      <c r="I55" s="33"/>
      <c r="J55" s="33">
        <f t="shared" si="2"/>
        <v>5000</v>
      </c>
      <c r="K55" s="49">
        <v>2947.37</v>
      </c>
      <c r="L55" s="49">
        <f t="shared" si="4"/>
        <v>2052.63</v>
      </c>
      <c r="M55" s="53">
        <f t="shared" si="5"/>
        <v>1.2188941752286438E-3</v>
      </c>
      <c r="O55" s="58"/>
    </row>
    <row r="56" spans="1:15">
      <c r="A56" s="24">
        <v>181</v>
      </c>
      <c r="B56" s="20" t="s">
        <v>139</v>
      </c>
      <c r="C56" s="33">
        <v>158000</v>
      </c>
      <c r="D56" s="33"/>
      <c r="E56" s="33"/>
      <c r="F56" s="33"/>
      <c r="G56" s="33"/>
      <c r="H56" s="33"/>
      <c r="I56" s="33"/>
      <c r="J56" s="33">
        <f t="shared" si="2"/>
        <v>158000</v>
      </c>
      <c r="K56" s="49">
        <v>0</v>
      </c>
      <c r="L56" s="49">
        <f t="shared" si="4"/>
        <v>158000</v>
      </c>
      <c r="M56" s="53">
        <f t="shared" si="5"/>
        <v>0</v>
      </c>
      <c r="O56" s="58"/>
    </row>
    <row r="57" spans="1:15" hidden="1">
      <c r="A57" s="24">
        <v>182</v>
      </c>
      <c r="B57" s="20" t="s">
        <v>56</v>
      </c>
      <c r="C57" s="33">
        <v>0</v>
      </c>
      <c r="D57" s="33"/>
      <c r="E57" s="33"/>
      <c r="F57" s="33"/>
      <c r="G57" s="33"/>
      <c r="H57" s="33"/>
      <c r="I57" s="33"/>
      <c r="J57" s="33">
        <f t="shared" si="2"/>
        <v>0</v>
      </c>
      <c r="K57" s="49">
        <v>0</v>
      </c>
      <c r="L57" s="49">
        <f t="shared" si="4"/>
        <v>0</v>
      </c>
      <c r="M57" s="53">
        <f t="shared" si="5"/>
        <v>0</v>
      </c>
      <c r="O57" s="58"/>
    </row>
    <row r="58" spans="1:15">
      <c r="A58" s="24">
        <v>183</v>
      </c>
      <c r="B58" s="20" t="s">
        <v>93</v>
      </c>
      <c r="C58" s="33">
        <v>85000</v>
      </c>
      <c r="D58" s="33"/>
      <c r="E58" s="33"/>
      <c r="F58" s="33"/>
      <c r="G58" s="33"/>
      <c r="H58" s="33"/>
      <c r="I58" s="33"/>
      <c r="J58" s="33">
        <f t="shared" si="2"/>
        <v>85000</v>
      </c>
      <c r="K58" s="49">
        <v>11650</v>
      </c>
      <c r="L58" s="49">
        <f t="shared" si="4"/>
        <v>73350</v>
      </c>
      <c r="M58" s="53">
        <f t="shared" si="5"/>
        <v>4.8178943062505558E-3</v>
      </c>
      <c r="O58" s="58"/>
    </row>
    <row r="59" spans="1:15">
      <c r="A59" s="24">
        <v>184</v>
      </c>
      <c r="B59" s="20" t="s">
        <v>94</v>
      </c>
      <c r="C59" s="33">
        <v>50000</v>
      </c>
      <c r="D59" s="33"/>
      <c r="E59" s="33"/>
      <c r="F59" s="33"/>
      <c r="G59" s="33"/>
      <c r="H59" s="33"/>
      <c r="I59" s="33"/>
      <c r="J59" s="33">
        <f t="shared" si="2"/>
        <v>50000</v>
      </c>
      <c r="K59" s="49">
        <v>23821.43</v>
      </c>
      <c r="L59" s="49">
        <f t="shared" si="4"/>
        <v>26178.57</v>
      </c>
      <c r="M59" s="53">
        <f t="shared" si="5"/>
        <v>9.851427636373063E-3</v>
      </c>
      <c r="O59" s="58"/>
    </row>
    <row r="60" spans="1:15">
      <c r="A60" s="24">
        <v>185</v>
      </c>
      <c r="B60" s="20" t="s">
        <v>95</v>
      </c>
      <c r="C60" s="33">
        <v>15000</v>
      </c>
      <c r="D60" s="33"/>
      <c r="E60" s="33"/>
      <c r="F60" s="33"/>
      <c r="G60" s="33"/>
      <c r="H60" s="33"/>
      <c r="I60" s="33"/>
      <c r="J60" s="33">
        <f t="shared" si="2"/>
        <v>15000</v>
      </c>
      <c r="K60" s="49">
        <v>3762</v>
      </c>
      <c r="L60" s="49">
        <f t="shared" si="4"/>
        <v>11238</v>
      </c>
      <c r="M60" s="53">
        <f t="shared" si="5"/>
        <v>1.5557869854175615E-3</v>
      </c>
      <c r="O60" s="58"/>
    </row>
    <row r="61" spans="1:15">
      <c r="A61" s="24">
        <v>186</v>
      </c>
      <c r="B61" s="20" t="s">
        <v>42</v>
      </c>
      <c r="C61" s="33">
        <v>2000</v>
      </c>
      <c r="D61" s="33"/>
      <c r="E61" s="33"/>
      <c r="F61" s="33"/>
      <c r="G61" s="33"/>
      <c r="H61" s="33"/>
      <c r="I61" s="33"/>
      <c r="J61" s="33">
        <f t="shared" si="2"/>
        <v>2000</v>
      </c>
      <c r="K61" s="49">
        <v>1140</v>
      </c>
      <c r="L61" s="49">
        <f t="shared" si="4"/>
        <v>860</v>
      </c>
      <c r="M61" s="53">
        <f t="shared" si="5"/>
        <v>4.714506016416853E-4</v>
      </c>
      <c r="O61" s="58"/>
    </row>
    <row r="62" spans="1:15">
      <c r="A62" s="24">
        <v>187</v>
      </c>
      <c r="B62" s="20" t="s">
        <v>96</v>
      </c>
      <c r="C62" s="33">
        <v>20000</v>
      </c>
      <c r="D62" s="33"/>
      <c r="E62" s="33"/>
      <c r="F62" s="33"/>
      <c r="G62" s="33"/>
      <c r="H62" s="33"/>
      <c r="I62" s="33"/>
      <c r="J62" s="33">
        <f t="shared" si="2"/>
        <v>20000</v>
      </c>
      <c r="K62" s="49">
        <v>3200</v>
      </c>
      <c r="L62" s="49">
        <f t="shared" si="4"/>
        <v>16800</v>
      </c>
      <c r="M62" s="53">
        <f t="shared" si="5"/>
        <v>1.3233701098713973E-3</v>
      </c>
      <c r="O62" s="58"/>
    </row>
    <row r="63" spans="1:15">
      <c r="A63" s="24">
        <v>188</v>
      </c>
      <c r="B63" s="20" t="s">
        <v>97</v>
      </c>
      <c r="C63" s="33">
        <v>60000</v>
      </c>
      <c r="D63" s="33"/>
      <c r="E63" s="33"/>
      <c r="F63" s="33"/>
      <c r="G63" s="33"/>
      <c r="H63" s="33"/>
      <c r="I63" s="33"/>
      <c r="J63" s="33">
        <f t="shared" si="2"/>
        <v>60000</v>
      </c>
      <c r="K63" s="49">
        <v>0</v>
      </c>
      <c r="L63" s="49">
        <f t="shared" si="4"/>
        <v>60000</v>
      </c>
      <c r="M63" s="53">
        <f t="shared" si="5"/>
        <v>0</v>
      </c>
      <c r="O63" s="58"/>
    </row>
    <row r="64" spans="1:15">
      <c r="A64" s="24">
        <v>189</v>
      </c>
      <c r="B64" s="20" t="s">
        <v>98</v>
      </c>
      <c r="C64" s="33">
        <v>285000</v>
      </c>
      <c r="D64" s="33"/>
      <c r="E64" s="33">
        <v>50000</v>
      </c>
      <c r="F64" s="33"/>
      <c r="G64" s="33"/>
      <c r="H64" s="33"/>
      <c r="I64" s="33"/>
      <c r="J64" s="33">
        <f t="shared" si="2"/>
        <v>235000</v>
      </c>
      <c r="K64" s="49">
        <v>109462.86</v>
      </c>
      <c r="L64" s="49">
        <f t="shared" si="4"/>
        <v>125537.14</v>
      </c>
      <c r="M64" s="53">
        <f t="shared" si="5"/>
        <v>4.5268711582824188E-2</v>
      </c>
      <c r="O64" s="58"/>
    </row>
    <row r="65" spans="1:16">
      <c r="A65" s="24">
        <v>191</v>
      </c>
      <c r="B65" s="20" t="s">
        <v>99</v>
      </c>
      <c r="C65" s="33">
        <v>11250</v>
      </c>
      <c r="D65" s="33"/>
      <c r="E65" s="33"/>
      <c r="F65" s="76"/>
      <c r="G65" s="33"/>
      <c r="H65" s="33"/>
      <c r="I65" s="33"/>
      <c r="J65" s="33">
        <f t="shared" si="2"/>
        <v>11250</v>
      </c>
      <c r="K65" s="49">
        <v>824.38</v>
      </c>
      <c r="L65" s="49">
        <f t="shared" si="4"/>
        <v>10425.620000000001</v>
      </c>
      <c r="M65" s="53">
        <f t="shared" si="5"/>
        <v>3.4092495349243203E-4</v>
      </c>
      <c r="O65" s="58"/>
    </row>
    <row r="66" spans="1:16">
      <c r="A66" s="24">
        <v>194</v>
      </c>
      <c r="B66" s="20" t="s">
        <v>148</v>
      </c>
      <c r="C66" s="33">
        <v>5000</v>
      </c>
      <c r="D66" s="33"/>
      <c r="E66" s="33"/>
      <c r="F66" s="33"/>
      <c r="G66" s="33"/>
      <c r="H66" s="33"/>
      <c r="I66" s="33"/>
      <c r="J66" s="33">
        <f t="shared" si="2"/>
        <v>5000</v>
      </c>
      <c r="K66" s="49">
        <v>836.78999999999985</v>
      </c>
      <c r="L66" s="49">
        <f t="shared" si="4"/>
        <v>4163.21</v>
      </c>
      <c r="M66" s="53">
        <f t="shared" si="5"/>
        <v>3.4605714819977703E-4</v>
      </c>
      <c r="O66" s="58"/>
    </row>
    <row r="67" spans="1:16">
      <c r="A67" s="24">
        <v>195</v>
      </c>
      <c r="B67" s="20" t="s">
        <v>34</v>
      </c>
      <c r="C67" s="33">
        <v>10000</v>
      </c>
      <c r="D67" s="33"/>
      <c r="E67" s="33"/>
      <c r="F67" s="33"/>
      <c r="G67" s="33"/>
      <c r="H67" s="33"/>
      <c r="I67" s="33"/>
      <c r="J67" s="33">
        <f t="shared" si="2"/>
        <v>10000</v>
      </c>
      <c r="K67" s="49">
        <v>516.4</v>
      </c>
      <c r="L67" s="49">
        <f t="shared" si="4"/>
        <v>9483.6</v>
      </c>
      <c r="M67" s="53">
        <f t="shared" si="5"/>
        <v>2.1355885148049674E-4</v>
      </c>
      <c r="O67" s="58"/>
    </row>
    <row r="68" spans="1:16">
      <c r="A68" s="24">
        <v>196</v>
      </c>
      <c r="B68" s="20" t="s">
        <v>100</v>
      </c>
      <c r="C68" s="33">
        <v>20000</v>
      </c>
      <c r="D68" s="33"/>
      <c r="E68" s="33"/>
      <c r="F68" s="33"/>
      <c r="G68" s="33"/>
      <c r="H68" s="33"/>
      <c r="I68" s="33"/>
      <c r="J68" s="33">
        <f t="shared" si="2"/>
        <v>20000</v>
      </c>
      <c r="K68" s="49">
        <v>0</v>
      </c>
      <c r="L68" s="49">
        <f t="shared" si="4"/>
        <v>20000</v>
      </c>
      <c r="M68" s="53">
        <f t="shared" si="5"/>
        <v>0</v>
      </c>
      <c r="O68" s="58"/>
    </row>
    <row r="69" spans="1:16">
      <c r="A69" s="24">
        <v>199</v>
      </c>
      <c r="B69" s="20" t="s">
        <v>55</v>
      </c>
      <c r="C69" s="33">
        <v>25000</v>
      </c>
      <c r="D69" s="33"/>
      <c r="E69" s="33"/>
      <c r="F69" s="33"/>
      <c r="G69" s="33"/>
      <c r="H69" s="33"/>
      <c r="I69" s="33"/>
      <c r="J69" s="33">
        <f t="shared" si="2"/>
        <v>25000</v>
      </c>
      <c r="K69" s="49">
        <v>16360.92</v>
      </c>
      <c r="L69" s="49">
        <f t="shared" si="4"/>
        <v>8639.08</v>
      </c>
      <c r="M69" s="53">
        <f t="shared" si="5"/>
        <v>6.766110155624107E-3</v>
      </c>
      <c r="O69" s="58"/>
    </row>
    <row r="70" spans="1:16">
      <c r="A70" s="24"/>
      <c r="B70" s="20"/>
      <c r="C70" s="33"/>
      <c r="D70" s="33"/>
      <c r="E70" s="33"/>
      <c r="F70" s="33"/>
      <c r="G70" s="33"/>
      <c r="H70" s="33"/>
      <c r="I70" s="33"/>
      <c r="J70" s="33"/>
      <c r="K70" s="81"/>
      <c r="L70" s="49"/>
      <c r="M70" s="53"/>
      <c r="O70" s="58"/>
    </row>
    <row r="71" spans="1:16">
      <c r="A71" s="23">
        <v>2</v>
      </c>
      <c r="B71" s="23" t="s">
        <v>11</v>
      </c>
      <c r="C71" s="33"/>
      <c r="D71" s="33"/>
      <c r="E71" s="33"/>
      <c r="F71" s="33"/>
      <c r="G71" s="33"/>
      <c r="H71" s="33"/>
      <c r="I71" s="33"/>
      <c r="J71" s="33"/>
      <c r="K71" s="83"/>
      <c r="L71" s="49"/>
      <c r="M71" s="53"/>
      <c r="O71" s="58"/>
    </row>
    <row r="72" spans="1:16">
      <c r="A72" s="24">
        <v>211</v>
      </c>
      <c r="B72" s="20" t="s">
        <v>23</v>
      </c>
      <c r="C72" s="33">
        <v>111400</v>
      </c>
      <c r="D72" s="33"/>
      <c r="E72" s="33"/>
      <c r="F72" s="33"/>
      <c r="G72" s="33"/>
      <c r="H72" s="33"/>
      <c r="I72" s="33"/>
      <c r="J72" s="33">
        <f t="shared" ref="J72:J97" si="6">C72+D72-E72+F72-G72+H72-I72</f>
        <v>111400</v>
      </c>
      <c r="K72" s="49">
        <v>27314.000000000004</v>
      </c>
      <c r="L72" s="49">
        <f t="shared" ref="L72:L97" si="7">J72-K72</f>
        <v>84086</v>
      </c>
      <c r="M72" s="53">
        <f t="shared" ref="M72:M97" si="8">K72/$K$114</f>
        <v>1.1295790994071048E-2</v>
      </c>
      <c r="O72" s="58"/>
    </row>
    <row r="73" spans="1:16" hidden="1">
      <c r="A73" s="24">
        <v>219</v>
      </c>
      <c r="B73" s="20" t="s">
        <v>24</v>
      </c>
      <c r="C73" s="33">
        <v>0</v>
      </c>
      <c r="D73" s="33"/>
      <c r="E73" s="33"/>
      <c r="F73" s="33"/>
      <c r="G73" s="33"/>
      <c r="H73" s="33"/>
      <c r="I73" s="33"/>
      <c r="J73" s="33">
        <f t="shared" si="6"/>
        <v>0</v>
      </c>
      <c r="K73" s="49"/>
      <c r="L73" s="49">
        <f t="shared" si="7"/>
        <v>0</v>
      </c>
      <c r="M73" s="53">
        <f t="shared" si="8"/>
        <v>0</v>
      </c>
      <c r="O73" s="58"/>
    </row>
    <row r="74" spans="1:16">
      <c r="A74" s="24">
        <v>232</v>
      </c>
      <c r="B74" s="20" t="s">
        <v>57</v>
      </c>
      <c r="C74" s="33">
        <v>1080</v>
      </c>
      <c r="D74" s="33"/>
      <c r="E74" s="33"/>
      <c r="F74" s="33"/>
      <c r="G74" s="33"/>
      <c r="H74" s="33"/>
      <c r="I74" s="33"/>
      <c r="J74" s="33">
        <f t="shared" si="6"/>
        <v>1080</v>
      </c>
      <c r="K74" s="49">
        <v>440</v>
      </c>
      <c r="L74" s="49">
        <f t="shared" si="7"/>
        <v>640</v>
      </c>
      <c r="M74" s="53">
        <f t="shared" si="8"/>
        <v>1.8196339010731713E-4</v>
      </c>
      <c r="O74" s="58"/>
    </row>
    <row r="75" spans="1:16">
      <c r="A75" s="24">
        <v>233</v>
      </c>
      <c r="B75" s="20" t="s">
        <v>70</v>
      </c>
      <c r="C75" s="33">
        <v>58000</v>
      </c>
      <c r="D75" s="33"/>
      <c r="E75" s="33"/>
      <c r="F75" s="33"/>
      <c r="G75" s="33"/>
      <c r="H75" s="33"/>
      <c r="I75" s="33"/>
      <c r="J75" s="33">
        <f t="shared" si="6"/>
        <v>58000</v>
      </c>
      <c r="K75" s="49">
        <v>0</v>
      </c>
      <c r="L75" s="49">
        <f t="shared" si="7"/>
        <v>58000</v>
      </c>
      <c r="M75" s="53">
        <f t="shared" si="8"/>
        <v>0</v>
      </c>
      <c r="O75" s="58"/>
      <c r="P75" s="87"/>
    </row>
    <row r="76" spans="1:16">
      <c r="A76" s="24">
        <v>241</v>
      </c>
      <c r="B76" s="20" t="s">
        <v>58</v>
      </c>
      <c r="C76" s="33">
        <v>6000</v>
      </c>
      <c r="D76" s="33"/>
      <c r="E76" s="33"/>
      <c r="F76" s="33"/>
      <c r="G76" s="33"/>
      <c r="H76" s="33"/>
      <c r="I76" s="33"/>
      <c r="J76" s="33">
        <f t="shared" si="6"/>
        <v>6000</v>
      </c>
      <c r="K76" s="49">
        <v>1628.9</v>
      </c>
      <c r="L76" s="49">
        <f t="shared" si="7"/>
        <v>4371.1000000000004</v>
      </c>
      <c r="M76" s="53">
        <f t="shared" si="8"/>
        <v>6.7363674124047473E-4</v>
      </c>
      <c r="O76" s="58"/>
      <c r="P76" s="87"/>
    </row>
    <row r="77" spans="1:16">
      <c r="A77" s="24">
        <v>243</v>
      </c>
      <c r="B77" s="20" t="s">
        <v>43</v>
      </c>
      <c r="C77" s="33">
        <v>1100</v>
      </c>
      <c r="D77" s="33"/>
      <c r="E77" s="33"/>
      <c r="F77" s="33"/>
      <c r="G77" s="33"/>
      <c r="H77" s="33"/>
      <c r="I77" s="33"/>
      <c r="J77" s="33">
        <f t="shared" si="6"/>
        <v>1100</v>
      </c>
      <c r="K77" s="49">
        <v>312.2</v>
      </c>
      <c r="L77" s="49">
        <f t="shared" si="7"/>
        <v>787.8</v>
      </c>
      <c r="M77" s="53">
        <f t="shared" si="8"/>
        <v>1.291112963443282E-4</v>
      </c>
      <c r="O77" s="58"/>
    </row>
    <row r="78" spans="1:16">
      <c r="A78" s="24">
        <v>244</v>
      </c>
      <c r="B78" s="20" t="s">
        <v>44</v>
      </c>
      <c r="C78" s="33">
        <v>2255</v>
      </c>
      <c r="D78" s="33"/>
      <c r="E78" s="33"/>
      <c r="F78" s="33"/>
      <c r="G78" s="33"/>
      <c r="H78" s="33"/>
      <c r="I78" s="33"/>
      <c r="J78" s="33">
        <f t="shared" si="6"/>
        <v>2255</v>
      </c>
      <c r="K78" s="49">
        <v>814.4</v>
      </c>
      <c r="L78" s="49">
        <f t="shared" si="7"/>
        <v>1440.6</v>
      </c>
      <c r="M78" s="53">
        <f t="shared" si="8"/>
        <v>3.3679769296227064E-4</v>
      </c>
      <c r="O78" s="58"/>
    </row>
    <row r="79" spans="1:16">
      <c r="A79" s="24">
        <v>245</v>
      </c>
      <c r="B79" s="20" t="s">
        <v>45</v>
      </c>
      <c r="C79" s="33">
        <v>1300</v>
      </c>
      <c r="D79" s="33"/>
      <c r="E79" s="33"/>
      <c r="F79" s="33"/>
      <c r="G79" s="33"/>
      <c r="H79" s="33"/>
      <c r="I79" s="33"/>
      <c r="J79" s="33">
        <f t="shared" si="6"/>
        <v>1300</v>
      </c>
      <c r="K79" s="49">
        <v>0</v>
      </c>
      <c r="L79" s="49">
        <f t="shared" si="7"/>
        <v>1300</v>
      </c>
      <c r="M79" s="53">
        <f t="shared" si="8"/>
        <v>0</v>
      </c>
      <c r="O79" s="58"/>
    </row>
    <row r="80" spans="1:16">
      <c r="A80" s="24">
        <v>253</v>
      </c>
      <c r="B80" s="20" t="s">
        <v>37</v>
      </c>
      <c r="C80" s="33">
        <v>7500</v>
      </c>
      <c r="D80" s="33"/>
      <c r="E80" s="33"/>
      <c r="F80" s="33"/>
      <c r="G80" s="33"/>
      <c r="H80" s="33"/>
      <c r="I80" s="33"/>
      <c r="J80" s="33">
        <f t="shared" si="6"/>
        <v>7500</v>
      </c>
      <c r="K80" s="49">
        <v>0</v>
      </c>
      <c r="L80" s="49">
        <f t="shared" si="7"/>
        <v>7500</v>
      </c>
      <c r="M80" s="53">
        <f t="shared" si="8"/>
        <v>0</v>
      </c>
      <c r="O80" s="58"/>
    </row>
    <row r="81" spans="1:15">
      <c r="A81" s="24">
        <v>254</v>
      </c>
      <c r="B81" s="20" t="s">
        <v>46</v>
      </c>
      <c r="C81" s="33">
        <v>750</v>
      </c>
      <c r="D81" s="33"/>
      <c r="E81" s="33"/>
      <c r="F81" s="33"/>
      <c r="G81" s="33"/>
      <c r="H81" s="33"/>
      <c r="I81" s="33"/>
      <c r="J81" s="33">
        <f t="shared" si="6"/>
        <v>750</v>
      </c>
      <c r="K81" s="49">
        <v>270</v>
      </c>
      <c r="L81" s="49">
        <f t="shared" si="7"/>
        <v>480</v>
      </c>
      <c r="M81" s="53">
        <f t="shared" si="8"/>
        <v>1.1165935302039915E-4</v>
      </c>
      <c r="O81" s="58"/>
    </row>
    <row r="82" spans="1:15">
      <c r="A82" s="24">
        <v>262</v>
      </c>
      <c r="B82" s="20" t="s">
        <v>59</v>
      </c>
      <c r="C82" s="33">
        <v>9770</v>
      </c>
      <c r="D82" s="33"/>
      <c r="E82" s="33"/>
      <c r="F82" s="33"/>
      <c r="G82" s="33"/>
      <c r="H82" s="33"/>
      <c r="I82" s="33"/>
      <c r="J82" s="33">
        <f t="shared" si="6"/>
        <v>9770</v>
      </c>
      <c r="K82" s="49">
        <v>5002.96</v>
      </c>
      <c r="L82" s="49">
        <f t="shared" si="7"/>
        <v>4767.04</v>
      </c>
      <c r="M82" s="53">
        <f t="shared" si="8"/>
        <v>2.0689899140256896E-3</v>
      </c>
      <c r="O82" s="58"/>
    </row>
    <row r="83" spans="1:15">
      <c r="A83" s="24">
        <v>266</v>
      </c>
      <c r="B83" s="20" t="s">
        <v>60</v>
      </c>
      <c r="C83" s="33">
        <v>600</v>
      </c>
      <c r="D83" s="33">
        <v>1250</v>
      </c>
      <c r="E83" s="33"/>
      <c r="F83" s="33"/>
      <c r="G83" s="33"/>
      <c r="H83" s="33"/>
      <c r="I83" s="33"/>
      <c r="J83" s="33">
        <f t="shared" si="6"/>
        <v>1850</v>
      </c>
      <c r="K83" s="49">
        <v>412</v>
      </c>
      <c r="L83" s="49">
        <f t="shared" si="7"/>
        <v>1438</v>
      </c>
      <c r="M83" s="53">
        <f t="shared" si="8"/>
        <v>1.7038390164594242E-4</v>
      </c>
      <c r="O83" s="58"/>
    </row>
    <row r="84" spans="1:15">
      <c r="A84" s="24">
        <v>267</v>
      </c>
      <c r="B84" s="20" t="s">
        <v>86</v>
      </c>
      <c r="C84" s="33">
        <v>22000</v>
      </c>
      <c r="D84" s="33"/>
      <c r="E84" s="33"/>
      <c r="F84" s="33"/>
      <c r="G84" s="33"/>
      <c r="H84" s="33"/>
      <c r="I84" s="33"/>
      <c r="J84" s="33">
        <f t="shared" si="6"/>
        <v>22000</v>
      </c>
      <c r="K84" s="49">
        <v>8799</v>
      </c>
      <c r="L84" s="49">
        <f t="shared" si="7"/>
        <v>13201</v>
      </c>
      <c r="M84" s="53">
        <f t="shared" si="8"/>
        <v>3.6388542489870081E-3</v>
      </c>
      <c r="O84" s="58"/>
    </row>
    <row r="85" spans="1:15">
      <c r="A85" s="24">
        <v>268</v>
      </c>
      <c r="B85" s="20" t="s">
        <v>61</v>
      </c>
      <c r="C85" s="33">
        <v>794</v>
      </c>
      <c r="D85" s="33">
        <v>1000</v>
      </c>
      <c r="E85" s="33"/>
      <c r="F85" s="33"/>
      <c r="G85" s="33"/>
      <c r="H85" s="33"/>
      <c r="I85" s="33"/>
      <c r="J85" s="33">
        <f t="shared" si="6"/>
        <v>1794</v>
      </c>
      <c r="K85" s="49">
        <v>724.70000000000016</v>
      </c>
      <c r="L85" s="49">
        <f t="shared" si="7"/>
        <v>1069.2999999999997</v>
      </c>
      <c r="M85" s="53">
        <f t="shared" si="8"/>
        <v>2.9970197456993808E-4</v>
      </c>
      <c r="O85" s="58"/>
    </row>
    <row r="86" spans="1:15">
      <c r="A86" s="24">
        <v>269</v>
      </c>
      <c r="B86" s="20" t="s">
        <v>62</v>
      </c>
      <c r="C86" s="33">
        <v>500</v>
      </c>
      <c r="D86" s="33">
        <v>750</v>
      </c>
      <c r="E86" s="33"/>
      <c r="F86" s="33"/>
      <c r="G86" s="33"/>
      <c r="H86" s="33"/>
      <c r="I86" s="33"/>
      <c r="J86" s="33">
        <f t="shared" si="6"/>
        <v>1250</v>
      </c>
      <c r="K86" s="49">
        <v>450</v>
      </c>
      <c r="L86" s="49">
        <f t="shared" si="7"/>
        <v>800</v>
      </c>
      <c r="M86" s="53">
        <f t="shared" si="8"/>
        <v>1.8609892170066525E-4</v>
      </c>
      <c r="O86" s="58"/>
    </row>
    <row r="87" spans="1:15">
      <c r="A87" s="24">
        <v>271</v>
      </c>
      <c r="B87" s="20" t="s">
        <v>63</v>
      </c>
      <c r="C87" s="33">
        <v>160800</v>
      </c>
      <c r="D87" s="33"/>
      <c r="E87" s="33"/>
      <c r="F87" s="33"/>
      <c r="G87" s="33"/>
      <c r="H87" s="33"/>
      <c r="I87" s="33"/>
      <c r="J87" s="33">
        <f t="shared" si="6"/>
        <v>160800</v>
      </c>
      <c r="K87" s="49">
        <v>0</v>
      </c>
      <c r="L87" s="49">
        <f t="shared" si="7"/>
        <v>160800</v>
      </c>
      <c r="M87" s="53">
        <f t="shared" si="8"/>
        <v>0</v>
      </c>
      <c r="O87" s="58"/>
    </row>
    <row r="88" spans="1:15">
      <c r="A88" s="24">
        <v>283</v>
      </c>
      <c r="B88" s="20" t="s">
        <v>64</v>
      </c>
      <c r="C88" s="33">
        <v>1000</v>
      </c>
      <c r="D88" s="33"/>
      <c r="E88" s="33"/>
      <c r="F88" s="33"/>
      <c r="G88" s="33"/>
      <c r="H88" s="33"/>
      <c r="I88" s="33"/>
      <c r="J88" s="33">
        <f t="shared" si="6"/>
        <v>1000</v>
      </c>
      <c r="K88" s="49">
        <v>9</v>
      </c>
      <c r="L88" s="49">
        <f t="shared" si="7"/>
        <v>991</v>
      </c>
      <c r="M88" s="53">
        <f t="shared" si="8"/>
        <v>3.7219784340133052E-6</v>
      </c>
      <c r="O88" s="58"/>
    </row>
    <row r="89" spans="1:15">
      <c r="A89" s="24">
        <v>284</v>
      </c>
      <c r="B89" s="20" t="s">
        <v>47</v>
      </c>
      <c r="C89" s="33">
        <v>7500</v>
      </c>
      <c r="D89" s="33"/>
      <c r="E89" s="33"/>
      <c r="F89" s="33"/>
      <c r="G89" s="33"/>
      <c r="H89" s="33"/>
      <c r="I89" s="33"/>
      <c r="J89" s="33">
        <f t="shared" si="6"/>
        <v>7500</v>
      </c>
      <c r="K89" s="49">
        <v>0</v>
      </c>
      <c r="L89" s="49">
        <f t="shared" si="7"/>
        <v>7500</v>
      </c>
      <c r="M89" s="53">
        <f t="shared" si="8"/>
        <v>0</v>
      </c>
      <c r="O89" s="58"/>
    </row>
    <row r="90" spans="1:15">
      <c r="A90" s="24">
        <v>285</v>
      </c>
      <c r="B90" s="20" t="s">
        <v>113</v>
      </c>
      <c r="C90" s="33">
        <v>807000</v>
      </c>
      <c r="D90" s="33"/>
      <c r="E90" s="33"/>
      <c r="F90" s="33"/>
      <c r="G90" s="33"/>
      <c r="H90" s="33"/>
      <c r="I90" s="33"/>
      <c r="J90" s="33">
        <f t="shared" si="6"/>
        <v>807000</v>
      </c>
      <c r="K90" s="49">
        <v>0</v>
      </c>
      <c r="L90" s="49">
        <f t="shared" si="7"/>
        <v>807000</v>
      </c>
      <c r="M90" s="53">
        <f t="shared" si="8"/>
        <v>0</v>
      </c>
      <c r="O90" s="58"/>
    </row>
    <row r="91" spans="1:15">
      <c r="A91" s="24">
        <v>291</v>
      </c>
      <c r="B91" s="20" t="s">
        <v>65</v>
      </c>
      <c r="C91" s="33">
        <v>9000</v>
      </c>
      <c r="D91" s="33"/>
      <c r="E91" s="33"/>
      <c r="F91" s="33"/>
      <c r="G91" s="33"/>
      <c r="H91" s="33"/>
      <c r="I91" s="33"/>
      <c r="J91" s="33">
        <f t="shared" si="6"/>
        <v>9000</v>
      </c>
      <c r="K91" s="49">
        <v>1284.79</v>
      </c>
      <c r="L91" s="49">
        <f t="shared" si="7"/>
        <v>7715.21</v>
      </c>
      <c r="M91" s="53">
        <f t="shared" si="8"/>
        <v>5.3132896358177271E-4</v>
      </c>
      <c r="O91" s="58"/>
    </row>
    <row r="92" spans="1:15">
      <c r="A92" s="24">
        <v>292</v>
      </c>
      <c r="B92" s="20" t="s">
        <v>66</v>
      </c>
      <c r="C92" s="33">
        <v>1800</v>
      </c>
      <c r="D92" s="33"/>
      <c r="E92" s="33"/>
      <c r="F92" s="33"/>
      <c r="G92" s="33"/>
      <c r="H92" s="33"/>
      <c r="I92" s="33"/>
      <c r="J92" s="33">
        <f t="shared" si="6"/>
        <v>1800</v>
      </c>
      <c r="K92" s="49">
        <v>619.15</v>
      </c>
      <c r="L92" s="49">
        <f t="shared" si="7"/>
        <v>1180.8499999999999</v>
      </c>
      <c r="M92" s="53">
        <f t="shared" si="8"/>
        <v>2.5605143860214866E-4</v>
      </c>
      <c r="O92" s="58"/>
    </row>
    <row r="93" spans="1:15">
      <c r="A93" s="24">
        <v>294</v>
      </c>
      <c r="B93" s="20" t="s">
        <v>67</v>
      </c>
      <c r="C93" s="33">
        <v>140250</v>
      </c>
      <c r="D93" s="43"/>
      <c r="E93" s="43"/>
      <c r="F93" s="33"/>
      <c r="G93" s="33"/>
      <c r="H93" s="33"/>
      <c r="I93" s="33"/>
      <c r="J93" s="33">
        <f t="shared" si="6"/>
        <v>140250</v>
      </c>
      <c r="K93" s="49">
        <v>32880</v>
      </c>
      <c r="L93" s="49">
        <f t="shared" si="7"/>
        <v>107370</v>
      </c>
      <c r="M93" s="53">
        <f t="shared" si="8"/>
        <v>1.3597627878928608E-2</v>
      </c>
      <c r="O93" s="58"/>
    </row>
    <row r="94" spans="1:15">
      <c r="A94" s="24">
        <v>296</v>
      </c>
      <c r="B94" s="20" t="s">
        <v>180</v>
      </c>
      <c r="C94" s="33">
        <v>500</v>
      </c>
      <c r="D94" s="33"/>
      <c r="E94" s="33"/>
      <c r="F94" s="33"/>
      <c r="G94" s="33"/>
      <c r="H94" s="33"/>
      <c r="I94" s="33"/>
      <c r="J94" s="33">
        <f t="shared" si="6"/>
        <v>500</v>
      </c>
      <c r="K94" s="49">
        <v>0</v>
      </c>
      <c r="L94" s="49">
        <f t="shared" si="7"/>
        <v>500</v>
      </c>
      <c r="M94" s="53">
        <f t="shared" si="8"/>
        <v>0</v>
      </c>
      <c r="O94" s="58"/>
    </row>
    <row r="95" spans="1:15">
      <c r="A95" s="24">
        <v>297</v>
      </c>
      <c r="B95" s="20" t="s">
        <v>68</v>
      </c>
      <c r="C95" s="33">
        <v>1000</v>
      </c>
      <c r="D95" s="33"/>
      <c r="E95" s="33"/>
      <c r="F95" s="33"/>
      <c r="G95" s="33"/>
      <c r="H95" s="33"/>
      <c r="I95" s="33"/>
      <c r="J95" s="33">
        <f t="shared" si="6"/>
        <v>1000</v>
      </c>
      <c r="K95" s="49">
        <v>530.17999999999995</v>
      </c>
      <c r="L95" s="49">
        <f t="shared" si="7"/>
        <v>469.82000000000005</v>
      </c>
      <c r="M95" s="53">
        <f t="shared" si="8"/>
        <v>2.1925761401613044E-4</v>
      </c>
      <c r="O95" s="58"/>
    </row>
    <row r="96" spans="1:15">
      <c r="A96" s="24">
        <v>298</v>
      </c>
      <c r="B96" s="20" t="s">
        <v>25</v>
      </c>
      <c r="C96" s="33">
        <v>85460</v>
      </c>
      <c r="D96" s="43"/>
      <c r="E96" s="43">
        <v>20000</v>
      </c>
      <c r="F96" s="33"/>
      <c r="G96" s="33"/>
      <c r="H96" s="33"/>
      <c r="I96" s="33"/>
      <c r="J96" s="33">
        <f t="shared" si="6"/>
        <v>65460</v>
      </c>
      <c r="K96" s="49">
        <v>3776.05</v>
      </c>
      <c r="L96" s="49">
        <f t="shared" si="7"/>
        <v>61683.95</v>
      </c>
      <c r="M96" s="53">
        <f t="shared" si="8"/>
        <v>1.5615974073062157E-3</v>
      </c>
      <c r="O96" s="58"/>
    </row>
    <row r="97" spans="1:15">
      <c r="A97" s="24">
        <v>299</v>
      </c>
      <c r="B97" s="20" t="s">
        <v>69</v>
      </c>
      <c r="C97" s="33">
        <v>12000</v>
      </c>
      <c r="D97" s="43"/>
      <c r="E97" s="43"/>
      <c r="F97" s="33"/>
      <c r="G97" s="33"/>
      <c r="H97" s="33"/>
      <c r="I97" s="33"/>
      <c r="J97" s="33">
        <f t="shared" si="6"/>
        <v>12000</v>
      </c>
      <c r="K97" s="49">
        <v>2016.85</v>
      </c>
      <c r="L97" s="49">
        <f t="shared" si="7"/>
        <v>9983.15</v>
      </c>
      <c r="M97" s="53">
        <f t="shared" si="8"/>
        <v>8.3407468940441493E-4</v>
      </c>
      <c r="O97" s="58"/>
    </row>
    <row r="98" spans="1:15">
      <c r="A98" s="24"/>
      <c r="B98" s="20"/>
      <c r="C98" s="33"/>
      <c r="D98" s="43"/>
      <c r="E98" s="43"/>
      <c r="F98" s="33"/>
      <c r="G98" s="33"/>
      <c r="H98" s="33"/>
      <c r="I98" s="33"/>
      <c r="J98" s="33"/>
      <c r="K98" s="81"/>
      <c r="L98" s="49"/>
      <c r="M98" s="53"/>
      <c r="O98" s="58"/>
    </row>
    <row r="99" spans="1:15">
      <c r="A99" s="23">
        <v>3</v>
      </c>
      <c r="B99" s="23" t="s">
        <v>129</v>
      </c>
      <c r="C99" s="33"/>
      <c r="D99" s="33"/>
      <c r="E99" s="33"/>
      <c r="F99" s="33"/>
      <c r="G99" s="33"/>
      <c r="H99" s="33"/>
      <c r="I99" s="33"/>
      <c r="J99" s="33"/>
      <c r="K99" s="83"/>
      <c r="L99" s="49"/>
      <c r="M99" s="53"/>
      <c r="O99" s="58"/>
    </row>
    <row r="100" spans="1:15">
      <c r="A100" s="24">
        <v>322</v>
      </c>
      <c r="B100" s="20" t="s">
        <v>83</v>
      </c>
      <c r="C100" s="33">
        <v>18000</v>
      </c>
      <c r="D100" s="33"/>
      <c r="E100" s="33"/>
      <c r="F100" s="33"/>
      <c r="G100" s="33"/>
      <c r="H100" s="33"/>
      <c r="I100" s="33"/>
      <c r="J100" s="33">
        <f t="shared" ref="J100:J105" si="9">C100+D100-E100+F100-G100+H100-I100</f>
        <v>18000</v>
      </c>
      <c r="K100" s="49">
        <v>0</v>
      </c>
      <c r="L100" s="49">
        <f t="shared" ref="L100:L105" si="10">J100-K100</f>
        <v>18000</v>
      </c>
      <c r="M100" s="53">
        <f t="shared" ref="M100:M105" si="11">K100/$K$114</f>
        <v>0</v>
      </c>
      <c r="O100" s="58"/>
    </row>
    <row r="101" spans="1:15" hidden="1">
      <c r="A101" s="24">
        <v>323</v>
      </c>
      <c r="B101" s="20" t="s">
        <v>119</v>
      </c>
      <c r="C101" s="33">
        <v>0</v>
      </c>
      <c r="D101" s="33"/>
      <c r="E101" s="33"/>
      <c r="F101" s="33"/>
      <c r="G101" s="33"/>
      <c r="H101" s="33"/>
      <c r="I101" s="33"/>
      <c r="J101" s="33">
        <f t="shared" si="9"/>
        <v>0</v>
      </c>
      <c r="K101" s="49"/>
      <c r="L101" s="49">
        <f t="shared" si="10"/>
        <v>0</v>
      </c>
      <c r="M101" s="53">
        <f t="shared" si="11"/>
        <v>0</v>
      </c>
    </row>
    <row r="102" spans="1:15">
      <c r="A102" s="24">
        <v>324</v>
      </c>
      <c r="B102" s="20" t="s">
        <v>120</v>
      </c>
      <c r="C102" s="33">
        <v>2147922.54</v>
      </c>
      <c r="D102" s="33"/>
      <c r="E102" s="33"/>
      <c r="F102" s="33"/>
      <c r="G102" s="33"/>
      <c r="H102" s="33"/>
      <c r="I102" s="33"/>
      <c r="J102" s="33">
        <f t="shared" si="9"/>
        <v>2147922.54</v>
      </c>
      <c r="K102" s="49">
        <v>89975</v>
      </c>
      <c r="L102" s="49">
        <f t="shared" si="10"/>
        <v>2057947.54</v>
      </c>
      <c r="M102" s="53">
        <f t="shared" si="11"/>
        <v>3.7209445511149679E-2</v>
      </c>
    </row>
    <row r="103" spans="1:15">
      <c r="A103" s="24">
        <v>328</v>
      </c>
      <c r="B103" s="20" t="s">
        <v>84</v>
      </c>
      <c r="C103" s="33">
        <v>7500</v>
      </c>
      <c r="D103" s="33"/>
      <c r="E103" s="33"/>
      <c r="F103" s="33"/>
      <c r="G103" s="33"/>
      <c r="H103" s="33"/>
      <c r="I103" s="33"/>
      <c r="J103" s="33">
        <f t="shared" si="9"/>
        <v>7500</v>
      </c>
      <c r="K103" s="49">
        <v>0</v>
      </c>
      <c r="L103" s="49">
        <f t="shared" si="10"/>
        <v>7500</v>
      </c>
      <c r="M103" s="53">
        <f t="shared" si="11"/>
        <v>0</v>
      </c>
    </row>
    <row r="104" spans="1:15">
      <c r="A104" s="24">
        <v>329</v>
      </c>
      <c r="B104" s="20" t="s">
        <v>85</v>
      </c>
      <c r="C104" s="33">
        <v>10500</v>
      </c>
      <c r="D104" s="33"/>
      <c r="E104" s="33"/>
      <c r="F104" s="33"/>
      <c r="G104" s="33"/>
      <c r="H104" s="33"/>
      <c r="I104" s="33"/>
      <c r="J104" s="33">
        <f t="shared" si="9"/>
        <v>10500</v>
      </c>
      <c r="K104" s="49">
        <v>0</v>
      </c>
      <c r="L104" s="49">
        <f t="shared" si="10"/>
        <v>10500</v>
      </c>
      <c r="M104" s="53">
        <f t="shared" si="11"/>
        <v>0</v>
      </c>
    </row>
    <row r="105" spans="1:15">
      <c r="A105" s="24">
        <v>332</v>
      </c>
      <c r="B105" s="20" t="s">
        <v>140</v>
      </c>
      <c r="C105" s="33">
        <v>2388358.86</v>
      </c>
      <c r="D105" s="33"/>
      <c r="E105" s="33"/>
      <c r="F105" s="33"/>
      <c r="G105" s="33"/>
      <c r="H105" s="33"/>
      <c r="I105" s="33"/>
      <c r="J105" s="33">
        <f t="shared" si="9"/>
        <v>2388358.86</v>
      </c>
      <c r="K105" s="49">
        <v>0</v>
      </c>
      <c r="L105" s="49">
        <f t="shared" si="10"/>
        <v>2388358.86</v>
      </c>
      <c r="M105" s="53">
        <f t="shared" si="11"/>
        <v>0</v>
      </c>
    </row>
    <row r="106" spans="1:15">
      <c r="A106" s="24"/>
      <c r="B106" s="20"/>
      <c r="C106" s="33"/>
      <c r="D106" s="33"/>
      <c r="E106" s="33"/>
      <c r="F106" s="33"/>
      <c r="G106" s="33"/>
      <c r="H106" s="33"/>
      <c r="I106" s="33"/>
      <c r="J106" s="33"/>
      <c r="K106" s="81"/>
      <c r="L106" s="49"/>
      <c r="M106" s="53"/>
      <c r="O106" s="12"/>
    </row>
    <row r="107" spans="1:15">
      <c r="A107" s="23">
        <v>4</v>
      </c>
      <c r="B107" s="23" t="s">
        <v>12</v>
      </c>
      <c r="C107" s="33"/>
      <c r="D107" s="33"/>
      <c r="E107" s="33"/>
      <c r="F107" s="33"/>
      <c r="G107" s="33"/>
      <c r="H107" s="33"/>
      <c r="I107" s="33"/>
      <c r="J107" s="33"/>
      <c r="K107" s="81"/>
      <c r="L107" s="49"/>
      <c r="M107" s="53"/>
      <c r="O107" s="12"/>
    </row>
    <row r="108" spans="1:15">
      <c r="A108" s="25">
        <v>413</v>
      </c>
      <c r="B108" s="26" t="s">
        <v>72</v>
      </c>
      <c r="C108" s="33">
        <v>20750</v>
      </c>
      <c r="D108" s="33"/>
      <c r="E108" s="33"/>
      <c r="F108" s="33"/>
      <c r="G108" s="33"/>
      <c r="H108" s="33"/>
      <c r="I108" s="33"/>
      <c r="J108" s="33">
        <f t="shared" ref="J108:J112" si="12">C108+D108-E108+F108-G108+H108-I108</f>
        <v>20750</v>
      </c>
      <c r="K108" s="49">
        <v>0</v>
      </c>
      <c r="L108" s="49">
        <f t="shared" ref="L108:L112" si="13">J108-K108</f>
        <v>20750</v>
      </c>
      <c r="M108" s="53">
        <f>K108/$K$114</f>
        <v>0</v>
      </c>
      <c r="O108" s="12"/>
    </row>
    <row r="109" spans="1:15">
      <c r="A109" s="25">
        <v>415</v>
      </c>
      <c r="B109" s="26" t="s">
        <v>73</v>
      </c>
      <c r="C109" s="33">
        <v>7600</v>
      </c>
      <c r="D109" s="33"/>
      <c r="E109" s="33"/>
      <c r="F109" s="33"/>
      <c r="G109" s="33"/>
      <c r="H109" s="33"/>
      <c r="I109" s="33"/>
      <c r="J109" s="33">
        <f t="shared" si="12"/>
        <v>7600</v>
      </c>
      <c r="K109" s="49">
        <v>0</v>
      </c>
      <c r="L109" s="49">
        <f t="shared" si="13"/>
        <v>7600</v>
      </c>
      <c r="M109" s="53">
        <f>K109/$K$114</f>
        <v>0</v>
      </c>
      <c r="O109" s="12"/>
    </row>
    <row r="110" spans="1:15">
      <c r="A110" s="25">
        <v>419</v>
      </c>
      <c r="B110" s="26" t="s">
        <v>74</v>
      </c>
      <c r="C110" s="33">
        <v>19200</v>
      </c>
      <c r="D110" s="33"/>
      <c r="E110" s="33"/>
      <c r="F110" s="33"/>
      <c r="G110" s="33"/>
      <c r="H110" s="33"/>
      <c r="I110" s="33"/>
      <c r="J110" s="33">
        <f t="shared" si="12"/>
        <v>19200</v>
      </c>
      <c r="K110" s="49">
        <v>6600</v>
      </c>
      <c r="L110" s="49">
        <f t="shared" si="13"/>
        <v>12600</v>
      </c>
      <c r="M110" s="53">
        <f>K110/$K$114</f>
        <v>2.7294508516097571E-3</v>
      </c>
      <c r="O110" s="12"/>
    </row>
    <row r="111" spans="1:15">
      <c r="A111" s="25">
        <v>453</v>
      </c>
      <c r="B111" s="26" t="s">
        <v>75</v>
      </c>
      <c r="C111" s="33">
        <v>255000</v>
      </c>
      <c r="D111" s="33"/>
      <c r="E111" s="33"/>
      <c r="F111" s="33"/>
      <c r="G111" s="33"/>
      <c r="H111" s="33"/>
      <c r="I111" s="33"/>
      <c r="J111" s="33">
        <f t="shared" si="12"/>
        <v>255000</v>
      </c>
      <c r="K111" s="49">
        <v>84868.75</v>
      </c>
      <c r="L111" s="49">
        <f t="shared" si="13"/>
        <v>170131.25</v>
      </c>
      <c r="M111" s="53">
        <f>K111/$K$114</f>
        <v>3.5097739691296301E-2</v>
      </c>
      <c r="O111" s="12"/>
    </row>
    <row r="112" spans="1:15">
      <c r="A112" s="25">
        <v>472</v>
      </c>
      <c r="B112" s="26" t="s">
        <v>105</v>
      </c>
      <c r="C112" s="33">
        <v>8200</v>
      </c>
      <c r="D112" s="33">
        <v>12000</v>
      </c>
      <c r="E112" s="33"/>
      <c r="F112" s="33"/>
      <c r="G112" s="33"/>
      <c r="H112" s="33"/>
      <c r="I112" s="33"/>
      <c r="J112" s="33">
        <f t="shared" si="12"/>
        <v>20200</v>
      </c>
      <c r="K112" s="49">
        <v>4628.7699999999995</v>
      </c>
      <c r="L112" s="49">
        <f t="shared" si="13"/>
        <v>15571.23</v>
      </c>
      <c r="M112" s="53">
        <f>K112/$K$114</f>
        <v>1.9142424573341961E-3</v>
      </c>
      <c r="O112" s="12"/>
    </row>
    <row r="113" spans="1:15" ht="20.25" customHeight="1" thickBot="1">
      <c r="A113" s="22"/>
      <c r="B113" s="64"/>
      <c r="C113" s="18"/>
      <c r="D113" s="33"/>
      <c r="E113" s="33"/>
      <c r="F113" s="44"/>
      <c r="G113" s="44"/>
      <c r="H113" s="44"/>
      <c r="I113" s="44"/>
      <c r="J113" s="18"/>
      <c r="K113" s="84"/>
      <c r="L113" s="50"/>
      <c r="M113" s="53"/>
      <c r="O113" s="12"/>
    </row>
    <row r="114" spans="1:15" ht="20.25" customHeight="1" thickBot="1">
      <c r="A114" s="65"/>
      <c r="B114" s="8" t="s">
        <v>7</v>
      </c>
      <c r="C114" s="94">
        <f>SUM(C21:C113)</f>
        <v>10577202.25</v>
      </c>
      <c r="D114" s="94">
        <f>SUM(D21:D113)</f>
        <v>280000</v>
      </c>
      <c r="E114" s="94">
        <f>SUM(E21:E113)</f>
        <v>280000</v>
      </c>
      <c r="F114" s="94">
        <f t="shared" ref="F114:I114" si="14">SUM(F21:F113)</f>
        <v>0</v>
      </c>
      <c r="G114" s="94">
        <f t="shared" si="14"/>
        <v>0</v>
      </c>
      <c r="H114" s="94">
        <f t="shared" si="14"/>
        <v>0</v>
      </c>
      <c r="I114" s="94">
        <f t="shared" si="14"/>
        <v>0</v>
      </c>
      <c r="J114" s="97">
        <f>ROUND((SUM(J21:J113)),2)</f>
        <v>10577202.25</v>
      </c>
      <c r="K114" s="97">
        <f>ROUND((SUM(K21:K113)),2)</f>
        <v>2418068.8199999998</v>
      </c>
      <c r="L114" s="97">
        <f>ROUND((SUM(L21:L113)),2)</f>
        <v>8159133.4299999997</v>
      </c>
      <c r="M114" s="98">
        <f>K114/K114</f>
        <v>1</v>
      </c>
      <c r="O114" s="12"/>
    </row>
    <row r="115" spans="1:15" ht="20.25" customHeight="1">
      <c r="A115" s="66"/>
      <c r="B115" s="13"/>
      <c r="C115" s="14"/>
      <c r="D115" s="14"/>
      <c r="E115" s="14"/>
      <c r="F115" s="14"/>
      <c r="G115" s="27"/>
      <c r="H115" s="27"/>
      <c r="I115" s="14"/>
      <c r="J115" s="14"/>
      <c r="K115" s="85"/>
      <c r="L115" s="14"/>
      <c r="M115" s="15"/>
      <c r="O115" s="12"/>
    </row>
    <row r="116" spans="1:15" ht="20.25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85"/>
      <c r="L116" s="14"/>
      <c r="M116" s="15"/>
      <c r="O116" s="12"/>
    </row>
    <row r="117" spans="1:15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16"/>
      <c r="K117" s="86"/>
      <c r="L117" s="10"/>
      <c r="M117" s="11"/>
    </row>
    <row r="118" spans="1:15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16"/>
      <c r="K118" s="86"/>
      <c r="L118" s="10"/>
      <c r="M118" s="11"/>
    </row>
    <row r="119" spans="1:15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16"/>
      <c r="K119" s="86"/>
      <c r="L119" s="10"/>
      <c r="M119" s="11"/>
      <c r="O119" s="3"/>
    </row>
    <row r="120" spans="1:15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16"/>
      <c r="K120" s="86"/>
      <c r="L120" s="10"/>
      <c r="M120" s="11"/>
    </row>
    <row r="121" spans="1:15" s="12" customFormat="1">
      <c r="A121" s="105" t="s">
        <v>108</v>
      </c>
      <c r="B121" s="35"/>
      <c r="C121" s="101"/>
      <c r="D121" s="9"/>
      <c r="E121" s="9"/>
      <c r="G121" s="41"/>
      <c r="H121" s="41"/>
      <c r="I121" s="41"/>
      <c r="J121" s="16"/>
      <c r="K121" s="86"/>
      <c r="L121" s="10"/>
      <c r="M121" s="11"/>
    </row>
    <row r="122" spans="1:15" s="12" customFormat="1">
      <c r="A122" s="106" t="s">
        <v>136</v>
      </c>
      <c r="B122" s="36"/>
      <c r="C122" s="101">
        <v>656637.59</v>
      </c>
      <c r="D122" s="9"/>
      <c r="E122" s="67"/>
      <c r="G122" s="41"/>
      <c r="H122" s="41"/>
      <c r="I122" s="41"/>
      <c r="J122" s="16"/>
      <c r="K122" s="86"/>
      <c r="L122" s="10"/>
      <c r="M122" s="11"/>
      <c r="O122" s="3"/>
    </row>
    <row r="123" spans="1:15" s="12" customFormat="1">
      <c r="A123" s="106" t="s">
        <v>76</v>
      </c>
      <c r="B123" s="36"/>
      <c r="C123" s="101">
        <f>K18</f>
        <v>2719072.52</v>
      </c>
      <c r="D123" s="9"/>
      <c r="E123" s="67"/>
      <c r="G123" s="41"/>
      <c r="H123" s="41"/>
      <c r="I123" s="77"/>
      <c r="J123" s="16"/>
      <c r="K123" s="86"/>
      <c r="L123" s="10"/>
      <c r="M123" s="11"/>
      <c r="O123" s="3"/>
    </row>
    <row r="124" spans="1:15" s="12" customFormat="1">
      <c r="A124" s="106" t="s">
        <v>87</v>
      </c>
      <c r="B124" s="36"/>
      <c r="C124" s="124">
        <f>-K114</f>
        <v>-2418068.8199999998</v>
      </c>
      <c r="D124" s="9"/>
      <c r="E124" s="67"/>
      <c r="G124" s="41"/>
      <c r="H124" s="41"/>
      <c r="I124" s="41"/>
      <c r="J124" s="16"/>
      <c r="K124" s="86"/>
      <c r="L124" s="10"/>
      <c r="M124" s="11"/>
      <c r="O124" s="3"/>
    </row>
    <row r="125" spans="1:15" s="12" customFormat="1" ht="18" customHeight="1">
      <c r="A125" s="107" t="s">
        <v>107</v>
      </c>
      <c r="B125" s="36"/>
      <c r="C125" s="119">
        <f>SUM(C122:C124)</f>
        <v>957641.29</v>
      </c>
      <c r="D125" s="68"/>
      <c r="E125" s="67"/>
      <c r="G125" s="41"/>
      <c r="H125" s="41"/>
      <c r="I125" s="41"/>
      <c r="J125" s="16"/>
      <c r="K125" s="86"/>
      <c r="L125" s="10"/>
      <c r="M125" s="11"/>
      <c r="O125" s="3"/>
    </row>
    <row r="126" spans="1:15" s="12" customFormat="1" ht="5.0999999999999996" customHeight="1">
      <c r="A126" s="106"/>
      <c r="B126" s="36"/>
      <c r="C126" s="101"/>
      <c r="D126" s="9"/>
      <c r="E126" s="9"/>
      <c r="G126" s="48"/>
      <c r="H126" s="48"/>
      <c r="I126" s="41"/>
      <c r="J126" s="16"/>
      <c r="K126" s="86"/>
      <c r="L126" s="10"/>
      <c r="M126" s="11"/>
      <c r="O126" s="3"/>
    </row>
    <row r="127" spans="1:15" s="12" customFormat="1" ht="5.0999999999999996" customHeight="1">
      <c r="A127" s="106"/>
      <c r="B127" s="36"/>
      <c r="C127" s="101"/>
      <c r="D127" s="9"/>
      <c r="E127" s="9"/>
      <c r="G127" s="41"/>
      <c r="H127" s="41"/>
      <c r="I127" s="41"/>
      <c r="J127" s="16"/>
      <c r="K127" s="86"/>
      <c r="L127" s="10"/>
      <c r="M127" s="11"/>
      <c r="O127" s="3"/>
    </row>
    <row r="128" spans="1:15" s="12" customFormat="1" ht="6.95" customHeight="1">
      <c r="A128" s="106"/>
      <c r="B128" s="36"/>
      <c r="C128" s="101"/>
      <c r="D128" s="9"/>
      <c r="E128" s="9"/>
      <c r="G128" s="41"/>
      <c r="H128" s="41"/>
      <c r="I128" s="41"/>
      <c r="J128" s="16"/>
      <c r="K128" s="86"/>
      <c r="L128" s="10"/>
      <c r="M128" s="11"/>
      <c r="O128" s="3"/>
    </row>
    <row r="129" spans="1:15" s="12" customFormat="1">
      <c r="A129" s="107" t="s">
        <v>164</v>
      </c>
      <c r="B129" s="39"/>
      <c r="C129" s="101">
        <f>C125+C126</f>
        <v>957641.29</v>
      </c>
      <c r="D129" s="69"/>
      <c r="G129" s="41"/>
      <c r="H129" s="41"/>
      <c r="I129" s="41"/>
      <c r="J129" s="16"/>
      <c r="K129" s="86"/>
      <c r="L129" s="10"/>
      <c r="M129" s="11"/>
      <c r="O129" s="3"/>
    </row>
    <row r="130" spans="1:15" s="12" customFormat="1" ht="6.95" customHeight="1" thickBot="1">
      <c r="A130" s="108"/>
      <c r="B130" s="38"/>
      <c r="C130" s="104"/>
      <c r="D130" s="69"/>
      <c r="G130" s="41"/>
      <c r="H130" s="41"/>
      <c r="I130" s="41"/>
      <c r="J130" s="16"/>
      <c r="K130" s="86"/>
      <c r="L130" s="10"/>
      <c r="M130" s="11"/>
      <c r="O130" s="3"/>
    </row>
    <row r="131" spans="1:15">
      <c r="A131" s="17"/>
      <c r="C131" s="45"/>
      <c r="D131" s="69"/>
      <c r="G131" s="45"/>
      <c r="H131" s="45"/>
      <c r="I131" s="45"/>
      <c r="J131" s="45"/>
      <c r="L131" s="45"/>
      <c r="M131" s="45"/>
    </row>
    <row r="132" spans="1:15">
      <c r="A132" s="17"/>
      <c r="B132" s="17"/>
      <c r="C132" s="123"/>
      <c r="D132" s="69"/>
      <c r="G132" s="45"/>
      <c r="H132" s="45"/>
      <c r="I132" s="45"/>
      <c r="J132" s="45"/>
      <c r="L132" s="45"/>
      <c r="M132" s="45"/>
    </row>
    <row r="133" spans="1:15">
      <c r="A133" s="13"/>
      <c r="B133" s="70" t="s">
        <v>163</v>
      </c>
      <c r="C133" s="123"/>
      <c r="D133" s="69"/>
      <c r="E133" s="40"/>
      <c r="G133" s="45"/>
      <c r="H133" s="45"/>
      <c r="J133" s="45"/>
      <c r="L133" s="45"/>
      <c r="M133" s="45"/>
    </row>
    <row r="134" spans="1:15">
      <c r="A134" s="13"/>
      <c r="B134" s="17"/>
      <c r="C134" s="45"/>
      <c r="D134" s="69"/>
      <c r="E134" s="45"/>
      <c r="F134" s="45"/>
      <c r="G134" s="45"/>
      <c r="H134" s="45"/>
      <c r="I134" s="45"/>
      <c r="J134" s="45"/>
      <c r="L134" s="45"/>
      <c r="M134" s="45"/>
    </row>
    <row r="135" spans="1:15">
      <c r="A135" s="13"/>
      <c r="B135" s="17"/>
      <c r="C135" s="45"/>
      <c r="D135" s="69"/>
      <c r="E135" s="45"/>
      <c r="F135" s="45"/>
      <c r="G135" s="45"/>
      <c r="H135" s="45"/>
      <c r="I135" s="45"/>
      <c r="J135" s="45"/>
      <c r="L135" s="45"/>
      <c r="M135" s="45"/>
    </row>
    <row r="136" spans="1:15">
      <c r="A136" s="13"/>
      <c r="B136" s="17"/>
      <c r="C136" s="45"/>
      <c r="D136" s="69"/>
      <c r="E136" s="45"/>
      <c r="F136" s="45"/>
      <c r="G136" s="45"/>
      <c r="H136" s="45"/>
      <c r="I136" s="45"/>
      <c r="J136" s="45"/>
      <c r="L136" s="45"/>
      <c r="M136" s="45"/>
    </row>
    <row r="137" spans="1:15">
      <c r="A137" s="13"/>
      <c r="B137" s="17"/>
      <c r="C137" s="45"/>
      <c r="E137" s="45"/>
      <c r="F137" s="45"/>
      <c r="G137" s="45"/>
      <c r="H137" s="45"/>
      <c r="I137" s="45"/>
      <c r="J137" s="45"/>
      <c r="L137" s="45"/>
      <c r="M137" s="45"/>
    </row>
    <row r="138" spans="1:15">
      <c r="A138" s="66"/>
      <c r="B138" s="17"/>
      <c r="C138" s="45"/>
      <c r="D138" s="16"/>
      <c r="E138" s="40"/>
      <c r="F138" s="40"/>
      <c r="G138" s="45"/>
      <c r="H138" s="45"/>
      <c r="I138" s="45"/>
      <c r="J138" s="45"/>
      <c r="L138" s="45"/>
      <c r="M138" s="45"/>
    </row>
    <row r="139" spans="1:15">
      <c r="A139" s="66"/>
      <c r="B139" s="45"/>
      <c r="C139" s="45"/>
      <c r="D139" s="45"/>
      <c r="E139" s="40"/>
      <c r="F139" s="40"/>
      <c r="G139" s="45"/>
      <c r="H139" s="45"/>
      <c r="I139" s="45"/>
      <c r="J139" s="45"/>
      <c r="L139" s="45"/>
      <c r="M139" s="45"/>
    </row>
    <row r="140" spans="1:15" ht="18.75">
      <c r="A140" s="66"/>
      <c r="B140" s="46" t="s">
        <v>124</v>
      </c>
      <c r="D140" s="112" t="s">
        <v>138</v>
      </c>
      <c r="E140" s="46"/>
      <c r="F140" s="46"/>
      <c r="I140" s="113" t="s">
        <v>127</v>
      </c>
      <c r="K140" s="88"/>
      <c r="L140" s="51"/>
      <c r="M140" s="46"/>
    </row>
    <row r="141" spans="1:15" s="115" customFormat="1" ht="15.75">
      <c r="A141" s="114"/>
      <c r="B141" s="56" t="s">
        <v>125</v>
      </c>
      <c r="D141" s="116" t="s">
        <v>126</v>
      </c>
      <c r="E141" s="56"/>
      <c r="F141" s="56"/>
      <c r="I141" s="117" t="s">
        <v>123</v>
      </c>
      <c r="K141" s="118"/>
      <c r="L141" s="56"/>
      <c r="M141" s="56"/>
    </row>
    <row r="142" spans="1:15" ht="18.75">
      <c r="A142" s="66"/>
      <c r="B142" s="47"/>
      <c r="C142" s="71"/>
      <c r="D142" s="51"/>
      <c r="E142" s="47"/>
      <c r="F142" s="47"/>
      <c r="G142" s="47"/>
      <c r="H142" s="47"/>
      <c r="I142" s="51"/>
      <c r="J142" s="71"/>
      <c r="K142" s="88"/>
      <c r="L142" s="47"/>
      <c r="M142" s="47"/>
    </row>
    <row r="143" spans="1:15" ht="18.75">
      <c r="A143" s="66"/>
      <c r="B143" s="47"/>
      <c r="C143" s="47"/>
      <c r="D143" s="47"/>
      <c r="F143" s="47"/>
      <c r="G143" s="47"/>
      <c r="H143" s="47"/>
      <c r="I143" s="112"/>
      <c r="J143" s="47"/>
      <c r="K143" s="88"/>
      <c r="M143" s="47"/>
    </row>
  </sheetData>
  <mergeCells count="3">
    <mergeCell ref="A6:A7"/>
    <mergeCell ref="B6:B7"/>
    <mergeCell ref="K6:K7"/>
  </mergeCells>
  <printOptions horizontalCentered="1"/>
  <pageMargins left="0" right="0" top="0.78740157480314965" bottom="0.86614173228346458" header="0.31496062992125984" footer="0.31496062992125984"/>
  <pageSetup scale="5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showGridLines="0" zoomScale="75" zoomScaleNormal="75" workbookViewId="0">
      <selection activeCell="C11" sqref="C11"/>
    </sheetView>
  </sheetViews>
  <sheetFormatPr baseColWidth="10" defaultColWidth="11.42578125" defaultRowHeight="18"/>
  <cols>
    <col min="1" max="1" width="10.7109375" style="3" customWidth="1"/>
    <col min="2" max="2" width="64.7109375" style="3" customWidth="1"/>
    <col min="3" max="3" width="19.5703125" style="3" customWidth="1"/>
    <col min="4" max="9" width="16.42578125" style="3" customWidth="1"/>
    <col min="10" max="10" width="19.28515625" style="3" customWidth="1"/>
    <col min="11" max="11" width="19.28515625" style="87" customWidth="1"/>
    <col min="12" max="12" width="19.28515625" style="3" customWidth="1"/>
    <col min="13" max="13" width="12.7109375" style="3" customWidth="1"/>
    <col min="14" max="14" width="7" style="3" customWidth="1"/>
    <col min="15" max="15" width="19.5703125" style="3" bestFit="1" customWidth="1"/>
    <col min="16" max="16" width="15.42578125" style="3" bestFit="1" customWidth="1"/>
    <col min="17" max="16384" width="11.42578125" style="3"/>
  </cols>
  <sheetData>
    <row r="1" spans="1:1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80"/>
      <c r="L1" s="42"/>
      <c r="M1" s="42"/>
    </row>
    <row r="2" spans="1:1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80"/>
      <c r="L2" s="42"/>
      <c r="M2" s="42"/>
    </row>
    <row r="3" spans="1:15">
      <c r="A3" s="42" t="s">
        <v>165</v>
      </c>
      <c r="B3" s="42"/>
      <c r="C3" s="42"/>
      <c r="D3" s="42"/>
      <c r="E3" s="42"/>
      <c r="F3" s="42"/>
      <c r="G3" s="42"/>
      <c r="H3" s="42"/>
      <c r="I3" s="42"/>
      <c r="J3" s="42"/>
      <c r="K3" s="80"/>
      <c r="L3" s="42"/>
      <c r="M3" s="42"/>
    </row>
    <row r="4" spans="1:15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80"/>
      <c r="L4" s="42"/>
      <c r="M4" s="42"/>
    </row>
    <row r="5" spans="1:15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80"/>
      <c r="L5" s="42"/>
      <c r="M5" s="42"/>
    </row>
    <row r="6" spans="1:15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1" t="s">
        <v>1</v>
      </c>
      <c r="K6" s="188" t="s">
        <v>2</v>
      </c>
      <c r="L6" s="2" t="s">
        <v>27</v>
      </c>
      <c r="M6" s="1" t="s">
        <v>29</v>
      </c>
    </row>
    <row r="7" spans="1:15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4" t="s">
        <v>4</v>
      </c>
      <c r="K7" s="189"/>
      <c r="L7" s="6" t="s">
        <v>28</v>
      </c>
      <c r="M7" s="7" t="s">
        <v>30</v>
      </c>
    </row>
    <row r="8" spans="1:15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81"/>
      <c r="L8" s="74"/>
      <c r="M8" s="43"/>
    </row>
    <row r="9" spans="1:15">
      <c r="A9" s="78"/>
      <c r="B9" s="79"/>
      <c r="C9" s="43"/>
      <c r="D9" s="43"/>
      <c r="E9" s="43"/>
      <c r="F9" s="43"/>
      <c r="G9" s="43"/>
      <c r="H9" s="43"/>
      <c r="I9" s="43"/>
      <c r="J9" s="43"/>
      <c r="K9" s="81"/>
      <c r="L9" s="74"/>
      <c r="M9" s="43"/>
    </row>
    <row r="10" spans="1:15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33">
        <f t="shared" ref="J10:J17" si="0">C10+D10-E10+F10-G10+H10-I10</f>
        <v>656637.59</v>
      </c>
      <c r="K10" s="49">
        <v>0</v>
      </c>
      <c r="L10" s="74">
        <f t="shared" ref="L10:L15" si="1">J10-K10+I10</f>
        <v>656637.59</v>
      </c>
      <c r="M10" s="57">
        <f>K10/K18</f>
        <v>0</v>
      </c>
    </row>
    <row r="11" spans="1:15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33">
        <f t="shared" si="0"/>
        <v>90000</v>
      </c>
      <c r="K11" s="49">
        <f>6885+7250+5010+5735+2005+6610+400+7470+800+3895+935+2335+600+2438</f>
        <v>52368</v>
      </c>
      <c r="L11" s="72">
        <f t="shared" si="1"/>
        <v>37632</v>
      </c>
      <c r="M11" s="57">
        <f>K11/K18</f>
        <v>1.758362387629276E-2</v>
      </c>
    </row>
    <row r="12" spans="1:15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33">
        <f t="shared" si="0"/>
        <v>4000</v>
      </c>
      <c r="K12" s="49">
        <f>154.29+74.21+47.84+63.83+246.6+43.51+44.38</f>
        <v>674.66</v>
      </c>
      <c r="L12" s="72">
        <f t="shared" si="1"/>
        <v>3325.34</v>
      </c>
      <c r="M12" s="57">
        <f>K12/K18</f>
        <v>2.2653085251259685E-4</v>
      </c>
    </row>
    <row r="13" spans="1:15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33">
        <f t="shared" si="0"/>
        <v>2345924.88</v>
      </c>
      <c r="K13" s="49">
        <f>195493.74+40518.88+404398.5+199964.08+198363.1+3864.56+199964.08+228755.24</f>
        <v>1471322.18</v>
      </c>
      <c r="L13" s="72">
        <f t="shared" si="1"/>
        <v>874602.7</v>
      </c>
      <c r="M13" s="57">
        <f>K13/K18</f>
        <v>0.49402642480077741</v>
      </c>
      <c r="O13" s="58"/>
    </row>
    <row r="14" spans="1:15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33">
        <f t="shared" si="0"/>
        <v>4496358.8600000003</v>
      </c>
      <c r="K14" s="49">
        <v>0</v>
      </c>
      <c r="L14" s="72">
        <f t="shared" si="1"/>
        <v>4496358.8600000003</v>
      </c>
      <c r="M14" s="57">
        <f>K14/K18</f>
        <v>0</v>
      </c>
      <c r="O14" s="58"/>
    </row>
    <row r="15" spans="1:15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33">
        <f t="shared" si="0"/>
        <v>2969280.92</v>
      </c>
      <c r="K15" s="49">
        <f>174488.09+436428.77+714931.38+46144.8+35496.86+19055.4+27315.53</f>
        <v>1453860.83</v>
      </c>
      <c r="L15" s="74">
        <f t="shared" si="1"/>
        <v>1515420.0899999999</v>
      </c>
      <c r="M15" s="57">
        <v>0</v>
      </c>
      <c r="O15" s="58"/>
    </row>
    <row r="16" spans="1:15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33">
        <f>C16+D16-E16+F16-G16+H16-I16</f>
        <v>15000</v>
      </c>
      <c r="K16" s="49">
        <v>0</v>
      </c>
      <c r="L16" s="74">
        <f>J16-K16+I16</f>
        <v>15000</v>
      </c>
      <c r="M16" s="57">
        <v>0</v>
      </c>
      <c r="O16" s="58"/>
    </row>
    <row r="17" spans="1:15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33">
        <f t="shared" si="0"/>
        <v>0</v>
      </c>
      <c r="K17" s="49">
        <v>0</v>
      </c>
      <c r="L17" s="75">
        <f>-K17+I17</f>
        <v>0</v>
      </c>
      <c r="M17" s="61">
        <f>K17/K18</f>
        <v>0</v>
      </c>
      <c r="O17" s="58"/>
    </row>
    <row r="18" spans="1:15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5">
        <f>ROUND((SUM(J10:J17)),2)</f>
        <v>10577202.25</v>
      </c>
      <c r="K18" s="95">
        <f>ROUND((SUM(K10:K17)),2)</f>
        <v>2978225.67</v>
      </c>
      <c r="L18" s="95">
        <f>ROUND((SUM(L10:L17)),2)</f>
        <v>7598976.5800000001</v>
      </c>
      <c r="M18" s="96">
        <f>SUM(M17:M17)</f>
        <v>0</v>
      </c>
      <c r="O18" s="58"/>
    </row>
    <row r="19" spans="1:15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82"/>
      <c r="L19" s="43"/>
      <c r="M19" s="43"/>
      <c r="O19" s="58"/>
    </row>
    <row r="20" spans="1:15">
      <c r="A20" s="78" t="s">
        <v>5</v>
      </c>
      <c r="B20" s="79" t="s">
        <v>102</v>
      </c>
      <c r="C20" s="43"/>
      <c r="D20" s="43"/>
      <c r="E20" s="43"/>
      <c r="F20" s="43"/>
      <c r="G20" s="43"/>
      <c r="H20" s="43"/>
      <c r="I20" s="43"/>
      <c r="J20" s="43"/>
      <c r="K20" s="82"/>
      <c r="L20" s="43"/>
      <c r="M20" s="43"/>
      <c r="O20" s="58"/>
    </row>
    <row r="21" spans="1:15">
      <c r="A21" s="23">
        <v>0</v>
      </c>
      <c r="B21" s="23" t="s">
        <v>9</v>
      </c>
      <c r="C21" s="33"/>
      <c r="D21" s="33"/>
      <c r="E21" s="33"/>
      <c r="F21" s="33"/>
      <c r="G21" s="33"/>
      <c r="H21" s="33"/>
      <c r="I21" s="33"/>
      <c r="J21" s="33"/>
      <c r="K21" s="81"/>
      <c r="L21" s="49"/>
      <c r="M21" s="53"/>
      <c r="O21" s="58"/>
    </row>
    <row r="22" spans="1:15">
      <c r="A22" s="19" t="s">
        <v>13</v>
      </c>
      <c r="B22" s="20" t="s">
        <v>79</v>
      </c>
      <c r="C22" s="33">
        <v>669886</v>
      </c>
      <c r="D22" s="33"/>
      <c r="E22" s="33"/>
      <c r="F22" s="33"/>
      <c r="G22" s="33"/>
      <c r="H22" s="33"/>
      <c r="I22" s="33"/>
      <c r="J22" s="33">
        <f t="shared" ref="J22:J69" si="2">C22+D22-E22+F22-G22+H22-I22</f>
        <v>669886</v>
      </c>
      <c r="K22" s="49">
        <v>365484.94999999995</v>
      </c>
      <c r="L22" s="49">
        <f>J22-K22</f>
        <v>304401.05000000005</v>
      </c>
      <c r="M22" s="53">
        <f t="shared" ref="M22:M33" si="3">K22/$K$114</f>
        <v>0.12240772178498946</v>
      </c>
      <c r="O22" s="58"/>
    </row>
    <row r="23" spans="1:15">
      <c r="A23" s="19" t="s">
        <v>31</v>
      </c>
      <c r="B23" s="20" t="s">
        <v>32</v>
      </c>
      <c r="C23" s="33">
        <v>4500</v>
      </c>
      <c r="D23" s="33"/>
      <c r="E23" s="33"/>
      <c r="F23" s="33"/>
      <c r="G23" s="33"/>
      <c r="H23" s="33"/>
      <c r="I23" s="33"/>
      <c r="J23" s="33">
        <f t="shared" si="2"/>
        <v>4500</v>
      </c>
      <c r="K23" s="49">
        <v>2625</v>
      </c>
      <c r="L23" s="49">
        <f t="shared" ref="L23:L69" si="4">J23-K23</f>
        <v>1875</v>
      </c>
      <c r="M23" s="53">
        <f t="shared" si="3"/>
        <v>8.7916142562257998E-4</v>
      </c>
      <c r="O23" s="58"/>
    </row>
    <row r="24" spans="1:15">
      <c r="A24" s="19" t="s">
        <v>14</v>
      </c>
      <c r="B24" s="20" t="s">
        <v>38</v>
      </c>
      <c r="C24" s="33">
        <v>112250</v>
      </c>
      <c r="D24" s="33"/>
      <c r="E24" s="33"/>
      <c r="F24" s="33"/>
      <c r="G24" s="33"/>
      <c r="H24" s="33"/>
      <c r="I24" s="33"/>
      <c r="J24" s="33">
        <f t="shared" si="2"/>
        <v>112250</v>
      </c>
      <c r="K24" s="49">
        <v>57500</v>
      </c>
      <c r="L24" s="49">
        <f t="shared" si="4"/>
        <v>54750</v>
      </c>
      <c r="M24" s="53">
        <f t="shared" si="3"/>
        <v>1.9257821704113658E-2</v>
      </c>
      <c r="O24" s="58"/>
    </row>
    <row r="25" spans="1:15" hidden="1">
      <c r="A25" s="19" t="s">
        <v>114</v>
      </c>
      <c r="B25" s="20" t="s">
        <v>115</v>
      </c>
      <c r="C25" s="33"/>
      <c r="D25" s="33"/>
      <c r="E25" s="33"/>
      <c r="F25" s="33"/>
      <c r="G25" s="33"/>
      <c r="H25" s="33"/>
      <c r="I25" s="33"/>
      <c r="J25" s="33">
        <f t="shared" si="2"/>
        <v>0</v>
      </c>
      <c r="K25" s="49"/>
      <c r="L25" s="49">
        <f t="shared" si="4"/>
        <v>0</v>
      </c>
      <c r="M25" s="53">
        <f t="shared" si="3"/>
        <v>0</v>
      </c>
      <c r="O25" s="58"/>
    </row>
    <row r="26" spans="1:15">
      <c r="A26" s="19" t="s">
        <v>116</v>
      </c>
      <c r="B26" s="20" t="s">
        <v>117</v>
      </c>
      <c r="C26" s="33">
        <v>0</v>
      </c>
      <c r="D26" s="33"/>
      <c r="E26" s="33"/>
      <c r="F26" s="33"/>
      <c r="G26" s="33"/>
      <c r="H26" s="33"/>
      <c r="I26" s="33"/>
      <c r="J26" s="33">
        <f t="shared" si="2"/>
        <v>0</v>
      </c>
      <c r="K26" s="49">
        <v>0</v>
      </c>
      <c r="L26" s="49">
        <f t="shared" si="4"/>
        <v>0</v>
      </c>
      <c r="M26" s="53">
        <f t="shared" si="3"/>
        <v>0</v>
      </c>
      <c r="O26" s="58"/>
    </row>
    <row r="27" spans="1:15">
      <c r="A27" s="19" t="s">
        <v>88</v>
      </c>
      <c r="B27" s="20" t="s">
        <v>89</v>
      </c>
      <c r="C27" s="33">
        <v>15400</v>
      </c>
      <c r="D27" s="33"/>
      <c r="E27" s="33"/>
      <c r="F27" s="33"/>
      <c r="G27" s="33"/>
      <c r="H27" s="33"/>
      <c r="I27" s="33"/>
      <c r="J27" s="33">
        <f t="shared" si="2"/>
        <v>15400</v>
      </c>
      <c r="K27" s="49">
        <v>0</v>
      </c>
      <c r="L27" s="49">
        <f t="shared" si="4"/>
        <v>15400</v>
      </c>
      <c r="M27" s="53">
        <f t="shared" si="3"/>
        <v>0</v>
      </c>
      <c r="O27" s="58"/>
    </row>
    <row r="28" spans="1:15">
      <c r="A28" s="19" t="s">
        <v>20</v>
      </c>
      <c r="B28" s="20" t="s">
        <v>21</v>
      </c>
      <c r="C28" s="33">
        <v>31068.6</v>
      </c>
      <c r="D28" s="33"/>
      <c r="E28" s="33"/>
      <c r="F28" s="33"/>
      <c r="G28" s="33"/>
      <c r="H28" s="33"/>
      <c r="I28" s="33"/>
      <c r="J28" s="33">
        <f t="shared" si="2"/>
        <v>31068.6</v>
      </c>
      <c r="K28" s="49">
        <v>17525.63</v>
      </c>
      <c r="L28" s="49">
        <f t="shared" si="4"/>
        <v>13542.969999999998</v>
      </c>
      <c r="M28" s="53">
        <f t="shared" si="3"/>
        <v>5.8696601355176601E-3</v>
      </c>
      <c r="O28" s="58"/>
    </row>
    <row r="29" spans="1:15">
      <c r="A29" s="19" t="s">
        <v>15</v>
      </c>
      <c r="B29" s="20" t="s">
        <v>110</v>
      </c>
      <c r="C29" s="33">
        <v>94901</v>
      </c>
      <c r="D29" s="33"/>
      <c r="E29" s="33"/>
      <c r="F29" s="33"/>
      <c r="G29" s="33"/>
      <c r="H29" s="33"/>
      <c r="I29" s="33"/>
      <c r="J29" s="33">
        <f t="shared" si="2"/>
        <v>94901</v>
      </c>
      <c r="K29" s="49">
        <v>34899.040000000001</v>
      </c>
      <c r="L29" s="49">
        <f t="shared" si="4"/>
        <v>60001.96</v>
      </c>
      <c r="M29" s="53">
        <f t="shared" si="3"/>
        <v>1.1688338955908361E-2</v>
      </c>
      <c r="O29" s="58"/>
    </row>
    <row r="30" spans="1:15">
      <c r="A30" s="19" t="s">
        <v>16</v>
      </c>
      <c r="B30" s="20" t="s">
        <v>111</v>
      </c>
      <c r="C30" s="33">
        <v>8132.05</v>
      </c>
      <c r="D30" s="33"/>
      <c r="E30" s="33"/>
      <c r="F30" s="33"/>
      <c r="G30" s="33"/>
      <c r="H30" s="33"/>
      <c r="I30" s="33"/>
      <c r="J30" s="33">
        <f t="shared" si="2"/>
        <v>8132.05</v>
      </c>
      <c r="K30" s="49">
        <v>3270.7700000000004</v>
      </c>
      <c r="L30" s="49">
        <f t="shared" si="4"/>
        <v>4861.28</v>
      </c>
      <c r="M30" s="53">
        <f t="shared" si="3"/>
        <v>1.0954418346985015E-3</v>
      </c>
      <c r="O30" s="58"/>
    </row>
    <row r="31" spans="1:15">
      <c r="A31" s="19" t="s">
        <v>17</v>
      </c>
      <c r="B31" s="21" t="s">
        <v>77</v>
      </c>
      <c r="C31" s="33">
        <v>59303</v>
      </c>
      <c r="D31" s="33"/>
      <c r="E31" s="33"/>
      <c r="F31" s="33"/>
      <c r="G31" s="33"/>
      <c r="H31" s="33"/>
      <c r="I31" s="33"/>
      <c r="J31" s="33">
        <f t="shared" si="2"/>
        <v>59303</v>
      </c>
      <c r="K31" s="49">
        <v>0</v>
      </c>
      <c r="L31" s="49">
        <f t="shared" si="4"/>
        <v>59303</v>
      </c>
      <c r="M31" s="53">
        <f t="shared" si="3"/>
        <v>0</v>
      </c>
      <c r="O31" s="58"/>
    </row>
    <row r="32" spans="1:15">
      <c r="A32" s="19" t="s">
        <v>18</v>
      </c>
      <c r="B32" s="20" t="s">
        <v>80</v>
      </c>
      <c r="C32" s="33">
        <v>59303</v>
      </c>
      <c r="D32" s="33"/>
      <c r="E32" s="33"/>
      <c r="F32" s="33"/>
      <c r="G32" s="33"/>
      <c r="H32" s="33"/>
      <c r="I32" s="33"/>
      <c r="J32" s="33">
        <f t="shared" si="2"/>
        <v>59303</v>
      </c>
      <c r="K32" s="49">
        <v>51031.86</v>
      </c>
      <c r="L32" s="49">
        <f t="shared" si="4"/>
        <v>8271.14</v>
      </c>
      <c r="M32" s="53">
        <f t="shared" si="3"/>
        <v>1.7091521062770253E-2</v>
      </c>
      <c r="O32" s="58"/>
    </row>
    <row r="33" spans="1:15">
      <c r="A33" s="19" t="s">
        <v>19</v>
      </c>
      <c r="B33" s="20" t="s">
        <v>78</v>
      </c>
      <c r="C33" s="33">
        <v>4000</v>
      </c>
      <c r="D33" s="33"/>
      <c r="E33" s="33"/>
      <c r="F33" s="33"/>
      <c r="G33" s="33"/>
      <c r="H33" s="33"/>
      <c r="I33" s="33"/>
      <c r="J33" s="33">
        <f t="shared" si="2"/>
        <v>4000</v>
      </c>
      <c r="K33" s="49">
        <v>0</v>
      </c>
      <c r="L33" s="49">
        <f t="shared" si="4"/>
        <v>4000</v>
      </c>
      <c r="M33" s="53">
        <f t="shared" si="3"/>
        <v>0</v>
      </c>
      <c r="O33" s="58"/>
    </row>
    <row r="34" spans="1:15">
      <c r="A34" s="19"/>
      <c r="B34" s="20"/>
      <c r="C34" s="33"/>
      <c r="D34" s="33"/>
      <c r="E34" s="33"/>
      <c r="F34" s="33"/>
      <c r="G34" s="33"/>
      <c r="H34" s="33"/>
      <c r="I34" s="33"/>
      <c r="J34" s="33"/>
      <c r="K34" s="81"/>
      <c r="L34" s="49"/>
      <c r="M34" s="53"/>
      <c r="O34" s="58"/>
    </row>
    <row r="35" spans="1:15">
      <c r="A35" s="23">
        <v>1</v>
      </c>
      <c r="B35" s="23" t="s">
        <v>10</v>
      </c>
      <c r="C35" s="33"/>
      <c r="D35" s="33"/>
      <c r="E35" s="33"/>
      <c r="F35" s="33"/>
      <c r="G35" s="33"/>
      <c r="H35" s="33"/>
      <c r="I35" s="33"/>
      <c r="J35" s="33"/>
      <c r="K35" s="83"/>
      <c r="L35" s="49"/>
      <c r="M35" s="53"/>
      <c r="O35" s="58"/>
    </row>
    <row r="36" spans="1:15">
      <c r="A36" s="24">
        <v>111</v>
      </c>
      <c r="B36" s="20" t="s">
        <v>39</v>
      </c>
      <c r="C36" s="33">
        <v>13125</v>
      </c>
      <c r="D36" s="33"/>
      <c r="E36" s="33"/>
      <c r="F36" s="33"/>
      <c r="G36" s="33"/>
      <c r="H36" s="33"/>
      <c r="I36" s="33"/>
      <c r="J36" s="33">
        <f t="shared" si="2"/>
        <v>13125</v>
      </c>
      <c r="K36" s="49">
        <v>5272.51</v>
      </c>
      <c r="L36" s="49">
        <f t="shared" si="4"/>
        <v>7852.49</v>
      </c>
      <c r="M36" s="53">
        <f t="shared" ref="M36:M69" si="5">K36/$K$114</f>
        <v>1.7658618697940227E-3</v>
      </c>
      <c r="O36" s="58"/>
    </row>
    <row r="37" spans="1:15">
      <c r="A37" s="24">
        <v>113</v>
      </c>
      <c r="B37" s="20" t="s">
        <v>48</v>
      </c>
      <c r="C37" s="33">
        <v>24780</v>
      </c>
      <c r="D37" s="33"/>
      <c r="E37" s="33"/>
      <c r="F37" s="33"/>
      <c r="G37" s="33"/>
      <c r="H37" s="33"/>
      <c r="I37" s="33"/>
      <c r="J37" s="33">
        <f t="shared" si="2"/>
        <v>24780</v>
      </c>
      <c r="K37" s="49">
        <v>13106</v>
      </c>
      <c r="L37" s="49">
        <f t="shared" si="4"/>
        <v>11674</v>
      </c>
      <c r="M37" s="53">
        <f t="shared" si="5"/>
        <v>4.3894436739845841E-3</v>
      </c>
      <c r="O37" s="58"/>
    </row>
    <row r="38" spans="1:15">
      <c r="A38" s="24">
        <v>114</v>
      </c>
      <c r="B38" s="20" t="s">
        <v>109</v>
      </c>
      <c r="C38" s="33">
        <v>2500</v>
      </c>
      <c r="D38" s="33"/>
      <c r="E38" s="33"/>
      <c r="F38" s="33"/>
      <c r="G38" s="33"/>
      <c r="H38" s="33"/>
      <c r="I38" s="33"/>
      <c r="J38" s="33">
        <f t="shared" si="2"/>
        <v>2500</v>
      </c>
      <c r="K38" s="49">
        <v>596.51</v>
      </c>
      <c r="L38" s="49">
        <f t="shared" si="4"/>
        <v>1903.49</v>
      </c>
      <c r="M38" s="53">
        <f t="shared" si="5"/>
        <v>1.9978231695166673E-4</v>
      </c>
      <c r="O38" s="58"/>
    </row>
    <row r="39" spans="1:15">
      <c r="A39" s="24">
        <v>121</v>
      </c>
      <c r="B39" s="20" t="s">
        <v>155</v>
      </c>
      <c r="C39" s="33">
        <v>12250</v>
      </c>
      <c r="D39" s="33"/>
      <c r="E39" s="33"/>
      <c r="F39" s="33"/>
      <c r="G39" s="33"/>
      <c r="H39" s="33"/>
      <c r="I39" s="33"/>
      <c r="J39" s="33">
        <f t="shared" si="2"/>
        <v>12250</v>
      </c>
      <c r="K39" s="49">
        <v>4101</v>
      </c>
      <c r="L39" s="49">
        <f t="shared" si="4"/>
        <v>8149</v>
      </c>
      <c r="M39" s="53">
        <f t="shared" si="5"/>
        <v>1.3735013358012194E-3</v>
      </c>
      <c r="O39" s="58"/>
    </row>
    <row r="40" spans="1:15">
      <c r="A40" s="24">
        <v>122</v>
      </c>
      <c r="B40" s="20" t="s">
        <v>81</v>
      </c>
      <c r="C40" s="33">
        <v>29000</v>
      </c>
      <c r="D40" s="33"/>
      <c r="E40" s="33"/>
      <c r="F40" s="33"/>
      <c r="G40" s="33"/>
      <c r="H40" s="33"/>
      <c r="I40" s="33"/>
      <c r="J40" s="33">
        <f t="shared" si="2"/>
        <v>29000</v>
      </c>
      <c r="K40" s="49">
        <v>21046</v>
      </c>
      <c r="L40" s="49">
        <f t="shared" si="4"/>
        <v>7954</v>
      </c>
      <c r="M40" s="53">
        <f t="shared" si="5"/>
        <v>7.048697662343931E-3</v>
      </c>
      <c r="N40" s="63"/>
      <c r="O40" s="58"/>
    </row>
    <row r="41" spans="1:15">
      <c r="A41" s="24">
        <v>131</v>
      </c>
      <c r="B41" s="20" t="s">
        <v>51</v>
      </c>
      <c r="C41" s="33">
        <v>1251963.1500000001</v>
      </c>
      <c r="D41" s="33">
        <v>250000</v>
      </c>
      <c r="E41" s="33"/>
      <c r="F41" s="33"/>
      <c r="G41" s="33"/>
      <c r="H41" s="33"/>
      <c r="I41" s="33"/>
      <c r="J41" s="33">
        <f t="shared" si="2"/>
        <v>1501963.1500000001</v>
      </c>
      <c r="K41" s="49">
        <v>1256366.67</v>
      </c>
      <c r="L41" s="49">
        <f t="shared" si="4"/>
        <v>245596.48000000021</v>
      </c>
      <c r="M41" s="53">
        <f t="shared" si="5"/>
        <v>0.42078061436262609</v>
      </c>
      <c r="O41" s="58"/>
    </row>
    <row r="42" spans="1:15">
      <c r="A42" s="24">
        <v>133</v>
      </c>
      <c r="B42" s="20" t="s">
        <v>52</v>
      </c>
      <c r="C42" s="33">
        <v>1500</v>
      </c>
      <c r="D42" s="33"/>
      <c r="E42" s="33"/>
      <c r="F42" s="33"/>
      <c r="G42" s="33"/>
      <c r="H42" s="33"/>
      <c r="I42" s="33"/>
      <c r="J42" s="33">
        <f t="shared" si="2"/>
        <v>1500</v>
      </c>
      <c r="K42" s="49">
        <v>0</v>
      </c>
      <c r="L42" s="49">
        <f t="shared" si="4"/>
        <v>1500</v>
      </c>
      <c r="M42" s="53">
        <f t="shared" si="5"/>
        <v>0</v>
      </c>
      <c r="O42" s="58"/>
    </row>
    <row r="43" spans="1:15" hidden="1">
      <c r="A43" s="24">
        <v>134</v>
      </c>
      <c r="B43" s="20" t="s">
        <v>82</v>
      </c>
      <c r="C43" s="33">
        <v>0</v>
      </c>
      <c r="D43" s="33"/>
      <c r="E43" s="33"/>
      <c r="F43" s="33"/>
      <c r="G43" s="33"/>
      <c r="H43" s="33"/>
      <c r="I43" s="33"/>
      <c r="J43" s="33">
        <f t="shared" si="2"/>
        <v>0</v>
      </c>
      <c r="K43" s="49">
        <v>0</v>
      </c>
      <c r="L43" s="49">
        <f t="shared" si="4"/>
        <v>0</v>
      </c>
      <c r="M43" s="53">
        <f t="shared" si="5"/>
        <v>0</v>
      </c>
      <c r="O43" s="58"/>
    </row>
    <row r="44" spans="1:15">
      <c r="A44" s="24">
        <v>135</v>
      </c>
      <c r="B44" s="20" t="s">
        <v>90</v>
      </c>
      <c r="C44" s="33">
        <v>100840.04999999999</v>
      </c>
      <c r="D44" s="33">
        <v>15000</v>
      </c>
      <c r="E44" s="33"/>
      <c r="F44" s="33"/>
      <c r="G44" s="33"/>
      <c r="H44" s="33"/>
      <c r="I44" s="33"/>
      <c r="J44" s="33">
        <f t="shared" si="2"/>
        <v>115840.04999999999</v>
      </c>
      <c r="K44" s="49">
        <v>100834.18000000001</v>
      </c>
      <c r="L44" s="49">
        <f t="shared" si="4"/>
        <v>15005.869999999981</v>
      </c>
      <c r="M44" s="53">
        <f t="shared" si="5"/>
        <v>3.3771246262965279E-2</v>
      </c>
      <c r="O44" s="58"/>
    </row>
    <row r="45" spans="1:15">
      <c r="A45" s="24">
        <v>141</v>
      </c>
      <c r="B45" s="20" t="s">
        <v>71</v>
      </c>
      <c r="C45" s="33">
        <v>846850</v>
      </c>
      <c r="D45" s="33"/>
      <c r="E45" s="33">
        <v>210000</v>
      </c>
      <c r="F45" s="33"/>
      <c r="G45" s="33"/>
      <c r="H45" s="33"/>
      <c r="I45" s="33"/>
      <c r="J45" s="33">
        <f t="shared" si="2"/>
        <v>636850</v>
      </c>
      <c r="K45" s="49">
        <v>464329.35</v>
      </c>
      <c r="L45" s="49">
        <f t="shared" si="4"/>
        <v>172520.65000000002</v>
      </c>
      <c r="M45" s="53">
        <f t="shared" si="5"/>
        <v>0.15551255363977368</v>
      </c>
      <c r="O45" s="58"/>
    </row>
    <row r="46" spans="1:15">
      <c r="A46" s="24">
        <v>142</v>
      </c>
      <c r="B46" s="20" t="s">
        <v>22</v>
      </c>
      <c r="C46" s="33">
        <v>16000</v>
      </c>
      <c r="D46" s="33"/>
      <c r="E46" s="33"/>
      <c r="F46" s="33"/>
      <c r="G46" s="33"/>
      <c r="H46" s="33"/>
      <c r="I46" s="33"/>
      <c r="J46" s="33">
        <f t="shared" si="2"/>
        <v>16000</v>
      </c>
      <c r="K46" s="49">
        <v>0</v>
      </c>
      <c r="L46" s="49">
        <f t="shared" si="4"/>
        <v>16000</v>
      </c>
      <c r="M46" s="53">
        <f t="shared" si="5"/>
        <v>0</v>
      </c>
      <c r="O46" s="58"/>
    </row>
    <row r="47" spans="1:15">
      <c r="A47" s="24">
        <v>143</v>
      </c>
      <c r="B47" s="20" t="s">
        <v>112</v>
      </c>
      <c r="C47" s="33">
        <v>27000</v>
      </c>
      <c r="D47" s="33"/>
      <c r="E47" s="33"/>
      <c r="F47" s="33"/>
      <c r="G47" s="33"/>
      <c r="H47" s="33"/>
      <c r="I47" s="33"/>
      <c r="J47" s="33">
        <f t="shared" si="2"/>
        <v>27000</v>
      </c>
      <c r="K47" s="49">
        <v>24393.510000000002</v>
      </c>
      <c r="L47" s="49">
        <f t="shared" si="4"/>
        <v>2606.489999999998</v>
      </c>
      <c r="M47" s="53">
        <f t="shared" si="5"/>
        <v>8.1698411533480623E-3</v>
      </c>
      <c r="O47" s="58"/>
    </row>
    <row r="48" spans="1:15">
      <c r="A48" s="24">
        <v>151</v>
      </c>
      <c r="B48" s="20" t="s">
        <v>118</v>
      </c>
      <c r="C48" s="33">
        <v>70560</v>
      </c>
      <c r="D48" s="33"/>
      <c r="E48" s="33"/>
      <c r="F48" s="33"/>
      <c r="G48" s="33"/>
      <c r="H48" s="33"/>
      <c r="I48" s="33"/>
      <c r="J48" s="33">
        <f t="shared" si="2"/>
        <v>70560</v>
      </c>
      <c r="K48" s="49">
        <v>40897.5</v>
      </c>
      <c r="L48" s="49">
        <f t="shared" si="4"/>
        <v>29662.5</v>
      </c>
      <c r="M48" s="53">
        <f t="shared" si="5"/>
        <v>1.3697335011199796E-2</v>
      </c>
      <c r="O48" s="58"/>
    </row>
    <row r="49" spans="1:15" hidden="1">
      <c r="A49" s="24">
        <v>155</v>
      </c>
      <c r="B49" s="20" t="s">
        <v>33</v>
      </c>
      <c r="C49" s="33">
        <v>0</v>
      </c>
      <c r="D49" s="33"/>
      <c r="E49" s="33"/>
      <c r="F49" s="33"/>
      <c r="G49" s="33"/>
      <c r="H49" s="33"/>
      <c r="I49" s="33"/>
      <c r="J49" s="33">
        <f t="shared" si="2"/>
        <v>0</v>
      </c>
      <c r="K49" s="49">
        <v>0</v>
      </c>
      <c r="L49" s="49">
        <f t="shared" si="4"/>
        <v>0</v>
      </c>
      <c r="M49" s="53">
        <f t="shared" si="5"/>
        <v>0</v>
      </c>
      <c r="O49" s="58"/>
    </row>
    <row r="50" spans="1:15">
      <c r="A50" s="24">
        <v>158</v>
      </c>
      <c r="B50" s="20" t="s">
        <v>91</v>
      </c>
      <c r="C50" s="33">
        <v>6550</v>
      </c>
      <c r="D50" s="33"/>
      <c r="E50" s="33"/>
      <c r="F50" s="33"/>
      <c r="G50" s="33"/>
      <c r="H50" s="33"/>
      <c r="I50" s="33"/>
      <c r="J50" s="33">
        <f t="shared" si="2"/>
        <v>6550</v>
      </c>
      <c r="K50" s="49">
        <v>1416</v>
      </c>
      <c r="L50" s="49">
        <f t="shared" si="4"/>
        <v>5134</v>
      </c>
      <c r="M50" s="53">
        <f t="shared" si="5"/>
        <v>4.7424479187869458E-4</v>
      </c>
      <c r="O50" s="58"/>
    </row>
    <row r="51" spans="1:15">
      <c r="A51" s="24">
        <v>162</v>
      </c>
      <c r="B51" s="20" t="s">
        <v>53</v>
      </c>
      <c r="C51" s="33">
        <v>2000</v>
      </c>
      <c r="D51" s="33"/>
      <c r="E51" s="33"/>
      <c r="F51" s="33"/>
      <c r="G51" s="33"/>
      <c r="H51" s="33"/>
      <c r="I51" s="33"/>
      <c r="J51" s="33">
        <f t="shared" si="2"/>
        <v>2000</v>
      </c>
      <c r="K51" s="49">
        <v>350</v>
      </c>
      <c r="L51" s="49">
        <f t="shared" si="4"/>
        <v>1650</v>
      </c>
      <c r="M51" s="53">
        <f t="shared" si="5"/>
        <v>1.1722152341634399E-4</v>
      </c>
      <c r="O51" s="58"/>
    </row>
    <row r="52" spans="1:15">
      <c r="A52" s="24">
        <v>164</v>
      </c>
      <c r="B52" s="20" t="s">
        <v>40</v>
      </c>
      <c r="C52" s="33">
        <v>20000</v>
      </c>
      <c r="D52" s="33"/>
      <c r="E52" s="33"/>
      <c r="F52" s="33"/>
      <c r="G52" s="33"/>
      <c r="H52" s="33"/>
      <c r="I52" s="33"/>
      <c r="J52" s="33">
        <f t="shared" si="2"/>
        <v>20000</v>
      </c>
      <c r="K52" s="49">
        <v>0</v>
      </c>
      <c r="L52" s="49">
        <f t="shared" si="4"/>
        <v>20000</v>
      </c>
      <c r="M52" s="53">
        <f t="shared" si="5"/>
        <v>0</v>
      </c>
      <c r="O52" s="58"/>
    </row>
    <row r="53" spans="1:15">
      <c r="A53" s="24">
        <v>165</v>
      </c>
      <c r="B53" s="20" t="s">
        <v>92</v>
      </c>
      <c r="C53" s="33">
        <v>6900</v>
      </c>
      <c r="D53" s="33"/>
      <c r="E53" s="33"/>
      <c r="F53" s="33"/>
      <c r="G53" s="33"/>
      <c r="H53" s="33"/>
      <c r="I53" s="33"/>
      <c r="J53" s="33">
        <f t="shared" si="2"/>
        <v>6900</v>
      </c>
      <c r="K53" s="49">
        <v>1492.94</v>
      </c>
      <c r="L53" s="49">
        <f t="shared" si="4"/>
        <v>5407.0599999999995</v>
      </c>
      <c r="M53" s="53">
        <f t="shared" si="5"/>
        <v>5.0001343191199033E-4</v>
      </c>
      <c r="O53" s="58"/>
    </row>
    <row r="54" spans="1:15">
      <c r="A54" s="24">
        <v>168</v>
      </c>
      <c r="B54" s="20" t="s">
        <v>54</v>
      </c>
      <c r="C54" s="33">
        <v>3000</v>
      </c>
      <c r="D54" s="33"/>
      <c r="E54" s="33"/>
      <c r="F54" s="33"/>
      <c r="G54" s="33"/>
      <c r="H54" s="33"/>
      <c r="I54" s="33"/>
      <c r="J54" s="33">
        <f t="shared" si="2"/>
        <v>3000</v>
      </c>
      <c r="K54" s="49">
        <v>515</v>
      </c>
      <c r="L54" s="49">
        <f t="shared" si="4"/>
        <v>2485</v>
      </c>
      <c r="M54" s="53">
        <f t="shared" si="5"/>
        <v>1.7248309874119189E-4</v>
      </c>
      <c r="O54" s="58"/>
    </row>
    <row r="55" spans="1:15">
      <c r="A55" s="24">
        <v>174</v>
      </c>
      <c r="B55" s="20" t="s">
        <v>41</v>
      </c>
      <c r="C55" s="33">
        <v>5000</v>
      </c>
      <c r="D55" s="33"/>
      <c r="E55" s="33"/>
      <c r="F55" s="33"/>
      <c r="G55" s="33"/>
      <c r="H55" s="33"/>
      <c r="I55" s="33"/>
      <c r="J55" s="33">
        <f t="shared" si="2"/>
        <v>5000</v>
      </c>
      <c r="K55" s="49">
        <v>2947.37</v>
      </c>
      <c r="L55" s="49">
        <f t="shared" si="4"/>
        <v>2052.63</v>
      </c>
      <c r="M55" s="53">
        <f t="shared" si="5"/>
        <v>9.8712914706179937E-4</v>
      </c>
      <c r="O55" s="58"/>
    </row>
    <row r="56" spans="1:15">
      <c r="A56" s="24">
        <v>181</v>
      </c>
      <c r="B56" s="20" t="s">
        <v>139</v>
      </c>
      <c r="C56" s="33">
        <v>158000</v>
      </c>
      <c r="D56" s="33"/>
      <c r="E56" s="33"/>
      <c r="F56" s="33"/>
      <c r="G56" s="33"/>
      <c r="H56" s="33"/>
      <c r="I56" s="33"/>
      <c r="J56" s="33">
        <f t="shared" si="2"/>
        <v>158000</v>
      </c>
      <c r="K56" s="49">
        <v>0</v>
      </c>
      <c r="L56" s="49">
        <f t="shared" si="4"/>
        <v>158000</v>
      </c>
      <c r="M56" s="53">
        <f t="shared" si="5"/>
        <v>0</v>
      </c>
      <c r="O56" s="58"/>
    </row>
    <row r="57" spans="1:15" hidden="1">
      <c r="A57" s="24">
        <v>182</v>
      </c>
      <c r="B57" s="20" t="s">
        <v>56</v>
      </c>
      <c r="C57" s="33">
        <v>0</v>
      </c>
      <c r="D57" s="33"/>
      <c r="E57" s="33"/>
      <c r="F57" s="33"/>
      <c r="G57" s="33"/>
      <c r="H57" s="33"/>
      <c r="I57" s="33"/>
      <c r="J57" s="33">
        <f t="shared" si="2"/>
        <v>0</v>
      </c>
      <c r="K57" s="49">
        <v>0</v>
      </c>
      <c r="L57" s="49">
        <f t="shared" si="4"/>
        <v>0</v>
      </c>
      <c r="M57" s="53">
        <f t="shared" si="5"/>
        <v>0</v>
      </c>
      <c r="O57" s="58"/>
    </row>
    <row r="58" spans="1:15">
      <c r="A58" s="24">
        <v>183</v>
      </c>
      <c r="B58" s="20" t="s">
        <v>93</v>
      </c>
      <c r="C58" s="33">
        <v>85000</v>
      </c>
      <c r="D58" s="33"/>
      <c r="E58" s="33"/>
      <c r="F58" s="33"/>
      <c r="G58" s="33"/>
      <c r="H58" s="33"/>
      <c r="I58" s="33"/>
      <c r="J58" s="33">
        <f t="shared" si="2"/>
        <v>85000</v>
      </c>
      <c r="K58" s="49">
        <v>12150</v>
      </c>
      <c r="L58" s="49">
        <f t="shared" si="4"/>
        <v>72850</v>
      </c>
      <c r="M58" s="53">
        <f t="shared" si="5"/>
        <v>4.0692614557387985E-3</v>
      </c>
      <c r="O58" s="58"/>
    </row>
    <row r="59" spans="1:15">
      <c r="A59" s="24">
        <v>184</v>
      </c>
      <c r="B59" s="20" t="s">
        <v>94</v>
      </c>
      <c r="C59" s="33">
        <v>50000</v>
      </c>
      <c r="D59" s="33"/>
      <c r="E59" s="33"/>
      <c r="F59" s="33"/>
      <c r="G59" s="33"/>
      <c r="H59" s="33"/>
      <c r="I59" s="33"/>
      <c r="J59" s="33">
        <f t="shared" si="2"/>
        <v>50000</v>
      </c>
      <c r="K59" s="49">
        <v>27821.43</v>
      </c>
      <c r="L59" s="49">
        <f t="shared" si="4"/>
        <v>22178.57</v>
      </c>
      <c r="M59" s="53">
        <f t="shared" si="5"/>
        <v>9.3179154520605014E-3</v>
      </c>
      <c r="O59" s="58"/>
    </row>
    <row r="60" spans="1:15">
      <c r="A60" s="24">
        <v>185</v>
      </c>
      <c r="B60" s="20" t="s">
        <v>95</v>
      </c>
      <c r="C60" s="33">
        <v>15000</v>
      </c>
      <c r="D60" s="33"/>
      <c r="E60" s="33"/>
      <c r="F60" s="33"/>
      <c r="G60" s="33"/>
      <c r="H60" s="33"/>
      <c r="I60" s="33"/>
      <c r="J60" s="33">
        <f t="shared" si="2"/>
        <v>15000</v>
      </c>
      <c r="K60" s="49">
        <v>3762</v>
      </c>
      <c r="L60" s="49">
        <f t="shared" si="4"/>
        <v>11238</v>
      </c>
      <c r="M60" s="53">
        <f t="shared" si="5"/>
        <v>1.2599639174065318E-3</v>
      </c>
      <c r="O60" s="58"/>
    </row>
    <row r="61" spans="1:15">
      <c r="A61" s="24">
        <v>186</v>
      </c>
      <c r="B61" s="20" t="s">
        <v>42</v>
      </c>
      <c r="C61" s="33">
        <v>2000</v>
      </c>
      <c r="D61" s="33"/>
      <c r="E61" s="33"/>
      <c r="F61" s="33"/>
      <c r="G61" s="33"/>
      <c r="H61" s="33"/>
      <c r="I61" s="33"/>
      <c r="J61" s="33">
        <f t="shared" si="2"/>
        <v>2000</v>
      </c>
      <c r="K61" s="49">
        <v>1140</v>
      </c>
      <c r="L61" s="49">
        <f t="shared" si="4"/>
        <v>860</v>
      </c>
      <c r="M61" s="53">
        <f t="shared" si="5"/>
        <v>3.8180724769894904E-4</v>
      </c>
      <c r="O61" s="58"/>
    </row>
    <row r="62" spans="1:15">
      <c r="A62" s="24">
        <v>187</v>
      </c>
      <c r="B62" s="20" t="s">
        <v>96</v>
      </c>
      <c r="C62" s="33">
        <v>20000</v>
      </c>
      <c r="D62" s="33"/>
      <c r="E62" s="33"/>
      <c r="F62" s="33"/>
      <c r="G62" s="33"/>
      <c r="H62" s="33"/>
      <c r="I62" s="33"/>
      <c r="J62" s="33">
        <f t="shared" si="2"/>
        <v>20000</v>
      </c>
      <c r="K62" s="49">
        <v>4400</v>
      </c>
      <c r="L62" s="49">
        <f t="shared" si="4"/>
        <v>15600</v>
      </c>
      <c r="M62" s="53">
        <f t="shared" si="5"/>
        <v>1.4736420086626102E-3</v>
      </c>
      <c r="O62" s="58"/>
    </row>
    <row r="63" spans="1:15">
      <c r="A63" s="24">
        <v>188</v>
      </c>
      <c r="B63" s="20" t="s">
        <v>97</v>
      </c>
      <c r="C63" s="33">
        <v>60000</v>
      </c>
      <c r="D63" s="33"/>
      <c r="E63" s="33"/>
      <c r="F63" s="33"/>
      <c r="G63" s="33"/>
      <c r="H63" s="33"/>
      <c r="I63" s="33"/>
      <c r="J63" s="33">
        <f t="shared" si="2"/>
        <v>60000</v>
      </c>
      <c r="K63" s="49">
        <v>0</v>
      </c>
      <c r="L63" s="49">
        <f t="shared" si="4"/>
        <v>60000</v>
      </c>
      <c r="M63" s="53">
        <f t="shared" si="5"/>
        <v>0</v>
      </c>
      <c r="O63" s="58"/>
    </row>
    <row r="64" spans="1:15">
      <c r="A64" s="24">
        <v>189</v>
      </c>
      <c r="B64" s="20" t="s">
        <v>98</v>
      </c>
      <c r="C64" s="33">
        <v>285000</v>
      </c>
      <c r="D64" s="33"/>
      <c r="E64" s="33">
        <v>50000</v>
      </c>
      <c r="F64" s="33"/>
      <c r="G64" s="33"/>
      <c r="H64" s="33"/>
      <c r="I64" s="33"/>
      <c r="J64" s="33">
        <f t="shared" si="2"/>
        <v>235000</v>
      </c>
      <c r="K64" s="49">
        <v>128662.86</v>
      </c>
      <c r="L64" s="49">
        <f t="shared" si="4"/>
        <v>106337.14</v>
      </c>
      <c r="M64" s="53">
        <f t="shared" si="5"/>
        <v>4.3091589875153685E-2</v>
      </c>
      <c r="O64" s="58"/>
    </row>
    <row r="65" spans="1:16">
      <c r="A65" s="24">
        <v>191</v>
      </c>
      <c r="B65" s="20" t="s">
        <v>99</v>
      </c>
      <c r="C65" s="33">
        <v>11250</v>
      </c>
      <c r="D65" s="33"/>
      <c r="E65" s="33"/>
      <c r="F65" s="76"/>
      <c r="G65" s="33"/>
      <c r="H65" s="33"/>
      <c r="I65" s="33"/>
      <c r="J65" s="33">
        <f t="shared" si="2"/>
        <v>11250</v>
      </c>
      <c r="K65" s="49">
        <v>7321.78</v>
      </c>
      <c r="L65" s="49">
        <f t="shared" si="4"/>
        <v>3928.2200000000003</v>
      </c>
      <c r="M65" s="53">
        <f t="shared" si="5"/>
        <v>2.4522005877694831E-3</v>
      </c>
      <c r="O65" s="58"/>
    </row>
    <row r="66" spans="1:16">
      <c r="A66" s="24">
        <v>194</v>
      </c>
      <c r="B66" s="20" t="s">
        <v>148</v>
      </c>
      <c r="C66" s="33">
        <v>5000</v>
      </c>
      <c r="D66" s="33"/>
      <c r="E66" s="33"/>
      <c r="F66" s="33"/>
      <c r="G66" s="33"/>
      <c r="H66" s="33"/>
      <c r="I66" s="33"/>
      <c r="J66" s="33">
        <f t="shared" si="2"/>
        <v>5000</v>
      </c>
      <c r="K66" s="49">
        <v>851.2299999999999</v>
      </c>
      <c r="L66" s="49">
        <f t="shared" si="4"/>
        <v>4148.7700000000004</v>
      </c>
      <c r="M66" s="53">
        <f t="shared" si="5"/>
        <v>2.8509279250769855E-4</v>
      </c>
      <c r="O66" s="58"/>
    </row>
    <row r="67" spans="1:16">
      <c r="A67" s="24">
        <v>195</v>
      </c>
      <c r="B67" s="20" t="s">
        <v>34</v>
      </c>
      <c r="C67" s="33">
        <v>10000</v>
      </c>
      <c r="D67" s="33"/>
      <c r="E67" s="33"/>
      <c r="F67" s="33"/>
      <c r="G67" s="33"/>
      <c r="H67" s="33"/>
      <c r="I67" s="33"/>
      <c r="J67" s="33">
        <f t="shared" si="2"/>
        <v>10000</v>
      </c>
      <c r="K67" s="49">
        <v>1078.4000000000001</v>
      </c>
      <c r="L67" s="49">
        <f t="shared" si="4"/>
        <v>8921.6</v>
      </c>
      <c r="M67" s="53">
        <f t="shared" si="5"/>
        <v>3.6117625957767251E-4</v>
      </c>
      <c r="O67" s="58"/>
    </row>
    <row r="68" spans="1:16">
      <c r="A68" s="24">
        <v>196</v>
      </c>
      <c r="B68" s="20" t="s">
        <v>100</v>
      </c>
      <c r="C68" s="33">
        <v>20000</v>
      </c>
      <c r="D68" s="33"/>
      <c r="E68" s="33"/>
      <c r="F68" s="33"/>
      <c r="G68" s="33"/>
      <c r="H68" s="33"/>
      <c r="I68" s="33"/>
      <c r="J68" s="33">
        <f t="shared" si="2"/>
        <v>20000</v>
      </c>
      <c r="K68" s="49">
        <v>0</v>
      </c>
      <c r="L68" s="49">
        <f t="shared" si="4"/>
        <v>20000</v>
      </c>
      <c r="M68" s="53">
        <f t="shared" si="5"/>
        <v>0</v>
      </c>
      <c r="O68" s="58"/>
    </row>
    <row r="69" spans="1:16">
      <c r="A69" s="24">
        <v>199</v>
      </c>
      <c r="B69" s="20" t="s">
        <v>55</v>
      </c>
      <c r="C69" s="33">
        <v>25000</v>
      </c>
      <c r="D69" s="33"/>
      <c r="E69" s="33"/>
      <c r="F69" s="33"/>
      <c r="G69" s="33"/>
      <c r="H69" s="33"/>
      <c r="I69" s="33"/>
      <c r="J69" s="33">
        <f t="shared" si="2"/>
        <v>25000</v>
      </c>
      <c r="K69" s="49">
        <v>16432.919999999998</v>
      </c>
      <c r="L69" s="49">
        <f t="shared" si="4"/>
        <v>8567.0800000000017</v>
      </c>
      <c r="M69" s="53">
        <f t="shared" si="5"/>
        <v>5.5036911902254498E-3</v>
      </c>
      <c r="O69" s="58"/>
    </row>
    <row r="70" spans="1:16">
      <c r="A70" s="24"/>
      <c r="B70" s="20"/>
      <c r="C70" s="33"/>
      <c r="D70" s="33"/>
      <c r="E70" s="33"/>
      <c r="F70" s="33"/>
      <c r="G70" s="33"/>
      <c r="H70" s="33"/>
      <c r="I70" s="33"/>
      <c r="J70" s="33"/>
      <c r="K70" s="81"/>
      <c r="L70" s="49"/>
      <c r="M70" s="53"/>
      <c r="O70" s="58"/>
    </row>
    <row r="71" spans="1:16">
      <c r="A71" s="23">
        <v>2</v>
      </c>
      <c r="B71" s="23" t="s">
        <v>11</v>
      </c>
      <c r="C71" s="33"/>
      <c r="D71" s="33"/>
      <c r="E71" s="33"/>
      <c r="F71" s="33"/>
      <c r="G71" s="33"/>
      <c r="H71" s="33"/>
      <c r="I71" s="33"/>
      <c r="J71" s="33"/>
      <c r="K71" s="83"/>
      <c r="L71" s="49"/>
      <c r="M71" s="53"/>
      <c r="O71" s="58"/>
    </row>
    <row r="72" spans="1:16">
      <c r="A72" s="24">
        <v>211</v>
      </c>
      <c r="B72" s="20" t="s">
        <v>23</v>
      </c>
      <c r="C72" s="33">
        <v>111400</v>
      </c>
      <c r="D72" s="33"/>
      <c r="E72" s="33"/>
      <c r="F72" s="33"/>
      <c r="G72" s="33"/>
      <c r="H72" s="33"/>
      <c r="I72" s="33"/>
      <c r="J72" s="33">
        <f t="shared" ref="J72:J97" si="6">C72+D72-E72+F72-G72+H72-I72</f>
        <v>111400</v>
      </c>
      <c r="K72" s="49">
        <v>32774.800000000003</v>
      </c>
      <c r="L72" s="49">
        <f t="shared" ref="L72:L97" si="7">J72-K72</f>
        <v>78625.2</v>
      </c>
      <c r="M72" s="53">
        <f t="shared" ref="M72:M97" si="8">K72/$K$114</f>
        <v>1.097689138761712E-2</v>
      </c>
      <c r="O72" s="58"/>
    </row>
    <row r="73" spans="1:16" hidden="1">
      <c r="A73" s="24">
        <v>219</v>
      </c>
      <c r="B73" s="20" t="s">
        <v>24</v>
      </c>
      <c r="C73" s="33">
        <v>0</v>
      </c>
      <c r="D73" s="33"/>
      <c r="E73" s="33"/>
      <c r="F73" s="33"/>
      <c r="G73" s="33"/>
      <c r="H73" s="33"/>
      <c r="I73" s="33"/>
      <c r="J73" s="33">
        <f t="shared" si="6"/>
        <v>0</v>
      </c>
      <c r="K73" s="49"/>
      <c r="L73" s="49">
        <f t="shared" si="7"/>
        <v>0</v>
      </c>
      <c r="M73" s="53">
        <f t="shared" si="8"/>
        <v>0</v>
      </c>
      <c r="O73" s="58"/>
    </row>
    <row r="74" spans="1:16">
      <c r="A74" s="24">
        <v>232</v>
      </c>
      <c r="B74" s="20" t="s">
        <v>57</v>
      </c>
      <c r="C74" s="33">
        <v>1080</v>
      </c>
      <c r="D74" s="33"/>
      <c r="E74" s="33"/>
      <c r="F74" s="33"/>
      <c r="G74" s="33"/>
      <c r="H74" s="33"/>
      <c r="I74" s="33"/>
      <c r="J74" s="33">
        <f t="shared" si="6"/>
        <v>1080</v>
      </c>
      <c r="K74" s="49">
        <v>440</v>
      </c>
      <c r="L74" s="49">
        <f t="shared" si="7"/>
        <v>640</v>
      </c>
      <c r="M74" s="53">
        <f t="shared" si="8"/>
        <v>1.4736420086626102E-4</v>
      </c>
      <c r="O74" s="58"/>
    </row>
    <row r="75" spans="1:16">
      <c r="A75" s="24">
        <v>233</v>
      </c>
      <c r="B75" s="20" t="s">
        <v>70</v>
      </c>
      <c r="C75" s="33">
        <v>58000</v>
      </c>
      <c r="D75" s="33"/>
      <c r="E75" s="33"/>
      <c r="F75" s="33"/>
      <c r="G75" s="33"/>
      <c r="H75" s="33"/>
      <c r="I75" s="33"/>
      <c r="J75" s="33">
        <f t="shared" si="6"/>
        <v>58000</v>
      </c>
      <c r="K75" s="49">
        <v>9993</v>
      </c>
      <c r="L75" s="49">
        <f t="shared" si="7"/>
        <v>48007</v>
      </c>
      <c r="M75" s="53">
        <f t="shared" si="8"/>
        <v>3.3468419528557875E-3</v>
      </c>
      <c r="O75" s="58"/>
      <c r="P75" s="87"/>
    </row>
    <row r="76" spans="1:16">
      <c r="A76" s="24">
        <v>241</v>
      </c>
      <c r="B76" s="20" t="s">
        <v>58</v>
      </c>
      <c r="C76" s="33">
        <v>6000</v>
      </c>
      <c r="D76" s="33"/>
      <c r="E76" s="33"/>
      <c r="F76" s="33"/>
      <c r="G76" s="33"/>
      <c r="H76" s="33"/>
      <c r="I76" s="33"/>
      <c r="J76" s="33">
        <f t="shared" si="6"/>
        <v>6000</v>
      </c>
      <c r="K76" s="49">
        <v>1628.9</v>
      </c>
      <c r="L76" s="49">
        <f t="shared" si="7"/>
        <v>4371.1000000000004</v>
      </c>
      <c r="M76" s="53">
        <f t="shared" si="8"/>
        <v>5.4554896997966503E-4</v>
      </c>
      <c r="O76" s="58"/>
      <c r="P76" s="87"/>
    </row>
    <row r="77" spans="1:16">
      <c r="A77" s="24">
        <v>243</v>
      </c>
      <c r="B77" s="20" t="s">
        <v>43</v>
      </c>
      <c r="C77" s="33">
        <v>1100</v>
      </c>
      <c r="D77" s="33"/>
      <c r="E77" s="33"/>
      <c r="F77" s="33"/>
      <c r="G77" s="33"/>
      <c r="H77" s="33"/>
      <c r="I77" s="33"/>
      <c r="J77" s="33">
        <f t="shared" si="6"/>
        <v>1100</v>
      </c>
      <c r="K77" s="49">
        <v>316.2</v>
      </c>
      <c r="L77" s="49">
        <f t="shared" si="7"/>
        <v>783.8</v>
      </c>
      <c r="M77" s="53">
        <f t="shared" si="8"/>
        <v>1.0590127344070849E-4</v>
      </c>
      <c r="O77" s="58"/>
    </row>
    <row r="78" spans="1:16">
      <c r="A78" s="24">
        <v>244</v>
      </c>
      <c r="B78" s="20" t="s">
        <v>44</v>
      </c>
      <c r="C78" s="33">
        <v>2255</v>
      </c>
      <c r="D78" s="33"/>
      <c r="E78" s="33"/>
      <c r="F78" s="33"/>
      <c r="G78" s="33"/>
      <c r="H78" s="33"/>
      <c r="I78" s="33"/>
      <c r="J78" s="33">
        <f t="shared" si="6"/>
        <v>2255</v>
      </c>
      <c r="K78" s="49">
        <v>970.4</v>
      </c>
      <c r="L78" s="49">
        <f t="shared" si="7"/>
        <v>1284.5999999999999</v>
      </c>
      <c r="M78" s="53">
        <f t="shared" si="8"/>
        <v>3.2500504663777205E-4</v>
      </c>
      <c r="O78" s="58"/>
    </row>
    <row r="79" spans="1:16">
      <c r="A79" s="24">
        <v>245</v>
      </c>
      <c r="B79" s="20" t="s">
        <v>45</v>
      </c>
      <c r="C79" s="33">
        <v>1300</v>
      </c>
      <c r="D79" s="33"/>
      <c r="E79" s="33"/>
      <c r="F79" s="33"/>
      <c r="G79" s="33"/>
      <c r="H79" s="33"/>
      <c r="I79" s="33"/>
      <c r="J79" s="33">
        <f t="shared" si="6"/>
        <v>1300</v>
      </c>
      <c r="K79" s="49">
        <v>0</v>
      </c>
      <c r="L79" s="49">
        <f t="shared" si="7"/>
        <v>1300</v>
      </c>
      <c r="M79" s="53">
        <f t="shared" si="8"/>
        <v>0</v>
      </c>
      <c r="O79" s="58"/>
    </row>
    <row r="80" spans="1:16">
      <c r="A80" s="24">
        <v>253</v>
      </c>
      <c r="B80" s="20" t="s">
        <v>37</v>
      </c>
      <c r="C80" s="33">
        <v>7500</v>
      </c>
      <c r="D80" s="33"/>
      <c r="E80" s="33"/>
      <c r="F80" s="33"/>
      <c r="G80" s="33"/>
      <c r="H80" s="33"/>
      <c r="I80" s="33"/>
      <c r="J80" s="33">
        <f t="shared" si="6"/>
        <v>7500</v>
      </c>
      <c r="K80" s="49">
        <v>0</v>
      </c>
      <c r="L80" s="49">
        <f t="shared" si="7"/>
        <v>7500</v>
      </c>
      <c r="M80" s="53">
        <f t="shared" si="8"/>
        <v>0</v>
      </c>
      <c r="O80" s="58"/>
    </row>
    <row r="81" spans="1:15">
      <c r="A81" s="24">
        <v>254</v>
      </c>
      <c r="B81" s="20" t="s">
        <v>46</v>
      </c>
      <c r="C81" s="33">
        <v>750</v>
      </c>
      <c r="D81" s="33"/>
      <c r="E81" s="33"/>
      <c r="F81" s="33"/>
      <c r="G81" s="33"/>
      <c r="H81" s="33"/>
      <c r="I81" s="33"/>
      <c r="J81" s="33">
        <f t="shared" si="6"/>
        <v>750</v>
      </c>
      <c r="K81" s="49">
        <v>270</v>
      </c>
      <c r="L81" s="49">
        <f t="shared" si="7"/>
        <v>480</v>
      </c>
      <c r="M81" s="53">
        <f t="shared" si="8"/>
        <v>9.0428032349751088E-5</v>
      </c>
      <c r="O81" s="58"/>
    </row>
    <row r="82" spans="1:15">
      <c r="A82" s="24">
        <v>262</v>
      </c>
      <c r="B82" s="20" t="s">
        <v>59</v>
      </c>
      <c r="C82" s="33">
        <v>9770</v>
      </c>
      <c r="D82" s="33"/>
      <c r="E82" s="33"/>
      <c r="F82" s="33"/>
      <c r="G82" s="33"/>
      <c r="H82" s="33"/>
      <c r="I82" s="33"/>
      <c r="J82" s="33">
        <f t="shared" si="6"/>
        <v>9770</v>
      </c>
      <c r="K82" s="49">
        <v>5492.96</v>
      </c>
      <c r="L82" s="49">
        <f t="shared" si="7"/>
        <v>4277.04</v>
      </c>
      <c r="M82" s="53">
        <f t="shared" si="8"/>
        <v>1.8396946836144027E-3</v>
      </c>
      <c r="O82" s="58"/>
    </row>
    <row r="83" spans="1:15">
      <c r="A83" s="24">
        <v>266</v>
      </c>
      <c r="B83" s="20" t="s">
        <v>60</v>
      </c>
      <c r="C83" s="33">
        <v>600</v>
      </c>
      <c r="D83" s="33">
        <v>1250</v>
      </c>
      <c r="E83" s="33"/>
      <c r="F83" s="33"/>
      <c r="G83" s="33"/>
      <c r="H83" s="33"/>
      <c r="I83" s="33"/>
      <c r="J83" s="33">
        <f t="shared" si="6"/>
        <v>1850</v>
      </c>
      <c r="K83" s="49">
        <v>1275.6399999999999</v>
      </c>
      <c r="L83" s="49">
        <f t="shared" si="7"/>
        <v>574.36000000000013</v>
      </c>
      <c r="M83" s="53">
        <f t="shared" si="8"/>
        <v>4.272356118023573E-4</v>
      </c>
      <c r="O83" s="58"/>
    </row>
    <row r="84" spans="1:15">
      <c r="A84" s="24">
        <v>267</v>
      </c>
      <c r="B84" s="20" t="s">
        <v>86</v>
      </c>
      <c r="C84" s="33">
        <v>22000</v>
      </c>
      <c r="D84" s="33"/>
      <c r="E84" s="33"/>
      <c r="F84" s="33"/>
      <c r="G84" s="33"/>
      <c r="H84" s="33"/>
      <c r="I84" s="33"/>
      <c r="J84" s="33">
        <f t="shared" si="6"/>
        <v>22000</v>
      </c>
      <c r="K84" s="49">
        <v>9967</v>
      </c>
      <c r="L84" s="49">
        <f t="shared" si="7"/>
        <v>12033</v>
      </c>
      <c r="M84" s="53">
        <f t="shared" si="8"/>
        <v>3.3381340682591448E-3</v>
      </c>
      <c r="O84" s="58"/>
    </row>
    <row r="85" spans="1:15">
      <c r="A85" s="24">
        <v>268</v>
      </c>
      <c r="B85" s="20" t="s">
        <v>61</v>
      </c>
      <c r="C85" s="33">
        <v>794</v>
      </c>
      <c r="D85" s="33">
        <v>1000</v>
      </c>
      <c r="E85" s="33"/>
      <c r="F85" s="33"/>
      <c r="G85" s="33"/>
      <c r="H85" s="33"/>
      <c r="I85" s="33"/>
      <c r="J85" s="33">
        <f t="shared" si="6"/>
        <v>1794</v>
      </c>
      <c r="K85" s="49">
        <v>724.70000000000016</v>
      </c>
      <c r="L85" s="49">
        <f t="shared" si="7"/>
        <v>1069.2999999999997</v>
      </c>
      <c r="M85" s="53">
        <f t="shared" si="8"/>
        <v>2.4271553719949863E-4</v>
      </c>
      <c r="O85" s="58"/>
    </row>
    <row r="86" spans="1:15">
      <c r="A86" s="24">
        <v>269</v>
      </c>
      <c r="B86" s="20" t="s">
        <v>62</v>
      </c>
      <c r="C86" s="33">
        <v>500</v>
      </c>
      <c r="D86" s="33">
        <v>750</v>
      </c>
      <c r="E86" s="33"/>
      <c r="F86" s="33"/>
      <c r="G86" s="33"/>
      <c r="H86" s="33"/>
      <c r="I86" s="33"/>
      <c r="J86" s="33">
        <f t="shared" si="6"/>
        <v>1250</v>
      </c>
      <c r="K86" s="49">
        <v>450</v>
      </c>
      <c r="L86" s="49">
        <f t="shared" si="7"/>
        <v>800</v>
      </c>
      <c r="M86" s="53">
        <f t="shared" si="8"/>
        <v>1.5071338724958515E-4</v>
      </c>
      <c r="O86" s="58"/>
    </row>
    <row r="87" spans="1:15">
      <c r="A87" s="24">
        <v>271</v>
      </c>
      <c r="B87" s="20" t="s">
        <v>63</v>
      </c>
      <c r="C87" s="33">
        <v>160800</v>
      </c>
      <c r="D87" s="33"/>
      <c r="E87" s="33"/>
      <c r="F87" s="33"/>
      <c r="G87" s="33"/>
      <c r="H87" s="33"/>
      <c r="I87" s="33"/>
      <c r="J87" s="33">
        <f t="shared" si="6"/>
        <v>160800</v>
      </c>
      <c r="K87" s="49">
        <v>0</v>
      </c>
      <c r="L87" s="49">
        <f t="shared" si="7"/>
        <v>160800</v>
      </c>
      <c r="M87" s="53">
        <f t="shared" si="8"/>
        <v>0</v>
      </c>
      <c r="O87" s="58"/>
    </row>
    <row r="88" spans="1:15">
      <c r="A88" s="24">
        <v>283</v>
      </c>
      <c r="B88" s="20" t="s">
        <v>64</v>
      </c>
      <c r="C88" s="33">
        <v>1000</v>
      </c>
      <c r="D88" s="33"/>
      <c r="E88" s="33"/>
      <c r="F88" s="33"/>
      <c r="G88" s="33"/>
      <c r="H88" s="33"/>
      <c r="I88" s="33"/>
      <c r="J88" s="33">
        <f t="shared" si="6"/>
        <v>1000</v>
      </c>
      <c r="K88" s="49">
        <v>9</v>
      </c>
      <c r="L88" s="49">
        <f t="shared" si="7"/>
        <v>991</v>
      </c>
      <c r="M88" s="53">
        <f t="shared" si="8"/>
        <v>3.0142677449917028E-6</v>
      </c>
      <c r="O88" s="58"/>
    </row>
    <row r="89" spans="1:15">
      <c r="A89" s="24">
        <v>284</v>
      </c>
      <c r="B89" s="20" t="s">
        <v>47</v>
      </c>
      <c r="C89" s="33">
        <v>7500</v>
      </c>
      <c r="D89" s="33"/>
      <c r="E89" s="33"/>
      <c r="F89" s="33"/>
      <c r="G89" s="33"/>
      <c r="H89" s="33"/>
      <c r="I89" s="33"/>
      <c r="J89" s="33">
        <f t="shared" si="6"/>
        <v>7500</v>
      </c>
      <c r="K89" s="49">
        <v>0</v>
      </c>
      <c r="L89" s="49">
        <f t="shared" si="7"/>
        <v>7500</v>
      </c>
      <c r="M89" s="53">
        <f t="shared" si="8"/>
        <v>0</v>
      </c>
      <c r="O89" s="58"/>
    </row>
    <row r="90" spans="1:15">
      <c r="A90" s="24">
        <v>285</v>
      </c>
      <c r="B90" s="20" t="s">
        <v>113</v>
      </c>
      <c r="C90" s="33">
        <v>807000</v>
      </c>
      <c r="D90" s="33"/>
      <c r="E90" s="33"/>
      <c r="F90" s="33"/>
      <c r="G90" s="33"/>
      <c r="H90" s="33"/>
      <c r="I90" s="33"/>
      <c r="J90" s="33">
        <f t="shared" si="6"/>
        <v>807000</v>
      </c>
      <c r="K90" s="49">
        <v>0</v>
      </c>
      <c r="L90" s="49">
        <f t="shared" si="7"/>
        <v>807000</v>
      </c>
      <c r="M90" s="53">
        <f t="shared" si="8"/>
        <v>0</v>
      </c>
      <c r="O90" s="58"/>
    </row>
    <row r="91" spans="1:15">
      <c r="A91" s="24">
        <v>291</v>
      </c>
      <c r="B91" s="20" t="s">
        <v>65</v>
      </c>
      <c r="C91" s="33">
        <v>9000</v>
      </c>
      <c r="D91" s="33"/>
      <c r="E91" s="33"/>
      <c r="F91" s="33"/>
      <c r="G91" s="33"/>
      <c r="H91" s="33"/>
      <c r="I91" s="33"/>
      <c r="J91" s="33">
        <f t="shared" si="6"/>
        <v>9000</v>
      </c>
      <c r="K91" s="49">
        <v>1585.8899999999999</v>
      </c>
      <c r="L91" s="49">
        <f t="shared" si="7"/>
        <v>7414.1100000000006</v>
      </c>
      <c r="M91" s="53">
        <f t="shared" si="8"/>
        <v>5.3114411934498788E-4</v>
      </c>
      <c r="O91" s="58"/>
    </row>
    <row r="92" spans="1:15">
      <c r="A92" s="24">
        <v>292</v>
      </c>
      <c r="B92" s="20" t="s">
        <v>66</v>
      </c>
      <c r="C92" s="33">
        <v>1800</v>
      </c>
      <c r="D92" s="33"/>
      <c r="E92" s="33"/>
      <c r="F92" s="33"/>
      <c r="G92" s="33"/>
      <c r="H92" s="33"/>
      <c r="I92" s="33"/>
      <c r="J92" s="33">
        <f t="shared" si="6"/>
        <v>1800</v>
      </c>
      <c r="K92" s="49">
        <v>785.35</v>
      </c>
      <c r="L92" s="49">
        <f t="shared" si="7"/>
        <v>1014.65</v>
      </c>
      <c r="M92" s="53">
        <f t="shared" si="8"/>
        <v>2.6302835261435932E-4</v>
      </c>
      <c r="O92" s="58"/>
    </row>
    <row r="93" spans="1:15">
      <c r="A93" s="24">
        <v>294</v>
      </c>
      <c r="B93" s="20" t="s">
        <v>67</v>
      </c>
      <c r="C93" s="33">
        <v>140250</v>
      </c>
      <c r="D93" s="43"/>
      <c r="E93" s="43"/>
      <c r="F93" s="33"/>
      <c r="G93" s="33"/>
      <c r="H93" s="33"/>
      <c r="I93" s="33"/>
      <c r="J93" s="33">
        <f t="shared" si="6"/>
        <v>140250</v>
      </c>
      <c r="K93" s="49">
        <v>32880</v>
      </c>
      <c r="L93" s="49">
        <f t="shared" si="7"/>
        <v>107370</v>
      </c>
      <c r="M93" s="53">
        <f t="shared" si="8"/>
        <v>1.1012124828369687E-2</v>
      </c>
      <c r="O93" s="58"/>
    </row>
    <row r="94" spans="1:15">
      <c r="A94" s="24">
        <v>296</v>
      </c>
      <c r="B94" s="20" t="s">
        <v>180</v>
      </c>
      <c r="C94" s="33">
        <v>500</v>
      </c>
      <c r="D94" s="33"/>
      <c r="E94" s="33"/>
      <c r="F94" s="33"/>
      <c r="G94" s="33"/>
      <c r="H94" s="33"/>
      <c r="I94" s="33"/>
      <c r="J94" s="33">
        <f t="shared" si="6"/>
        <v>500</v>
      </c>
      <c r="K94" s="49">
        <v>0</v>
      </c>
      <c r="L94" s="49">
        <f t="shared" si="7"/>
        <v>500</v>
      </c>
      <c r="M94" s="53">
        <f t="shared" si="8"/>
        <v>0</v>
      </c>
      <c r="O94" s="58"/>
    </row>
    <row r="95" spans="1:15">
      <c r="A95" s="24">
        <v>297</v>
      </c>
      <c r="B95" s="20" t="s">
        <v>68</v>
      </c>
      <c r="C95" s="33">
        <v>1000</v>
      </c>
      <c r="D95" s="33"/>
      <c r="E95" s="33"/>
      <c r="F95" s="33"/>
      <c r="G95" s="33"/>
      <c r="H95" s="33"/>
      <c r="I95" s="33"/>
      <c r="J95" s="33">
        <f t="shared" si="6"/>
        <v>1000</v>
      </c>
      <c r="K95" s="49">
        <v>530.17999999999995</v>
      </c>
      <c r="L95" s="49">
        <f t="shared" si="7"/>
        <v>469.82000000000005</v>
      </c>
      <c r="M95" s="53">
        <f t="shared" si="8"/>
        <v>1.7756716367107786E-4</v>
      </c>
      <c r="O95" s="58"/>
    </row>
    <row r="96" spans="1:15">
      <c r="A96" s="24">
        <v>298</v>
      </c>
      <c r="B96" s="20" t="s">
        <v>25</v>
      </c>
      <c r="C96" s="33">
        <v>85460</v>
      </c>
      <c r="D96" s="43"/>
      <c r="E96" s="43">
        <v>20000</v>
      </c>
      <c r="F96" s="33"/>
      <c r="G96" s="33"/>
      <c r="H96" s="33"/>
      <c r="I96" s="33"/>
      <c r="J96" s="33">
        <f t="shared" si="6"/>
        <v>65460</v>
      </c>
      <c r="K96" s="49">
        <v>9300.880000000001</v>
      </c>
      <c r="L96" s="49">
        <f t="shared" si="7"/>
        <v>56159.119999999995</v>
      </c>
      <c r="M96" s="53">
        <f t="shared" si="8"/>
        <v>3.1150380648931591E-3</v>
      </c>
      <c r="O96" s="58"/>
    </row>
    <row r="97" spans="1:15">
      <c r="A97" s="24">
        <v>299</v>
      </c>
      <c r="B97" s="20" t="s">
        <v>69</v>
      </c>
      <c r="C97" s="33">
        <v>12000</v>
      </c>
      <c r="D97" s="43"/>
      <c r="E97" s="43"/>
      <c r="F97" s="33"/>
      <c r="G97" s="33"/>
      <c r="H97" s="33"/>
      <c r="I97" s="33"/>
      <c r="J97" s="33">
        <f t="shared" si="6"/>
        <v>12000</v>
      </c>
      <c r="K97" s="49">
        <v>2016.85</v>
      </c>
      <c r="L97" s="49">
        <f t="shared" si="7"/>
        <v>9983.15</v>
      </c>
      <c r="M97" s="53">
        <f t="shared" si="8"/>
        <v>6.7548065572072393E-4</v>
      </c>
      <c r="O97" s="58"/>
    </row>
    <row r="98" spans="1:15">
      <c r="A98" s="24"/>
      <c r="B98" s="20"/>
      <c r="C98" s="33"/>
      <c r="D98" s="43"/>
      <c r="E98" s="43"/>
      <c r="F98" s="33"/>
      <c r="G98" s="33"/>
      <c r="H98" s="33"/>
      <c r="I98" s="33"/>
      <c r="J98" s="33"/>
      <c r="K98" s="81"/>
      <c r="L98" s="49"/>
      <c r="M98" s="53"/>
      <c r="O98" s="58"/>
    </row>
    <row r="99" spans="1:15">
      <c r="A99" s="23">
        <v>3</v>
      </c>
      <c r="B99" s="23" t="s">
        <v>129</v>
      </c>
      <c r="C99" s="33"/>
      <c r="D99" s="33"/>
      <c r="E99" s="33"/>
      <c r="F99" s="33"/>
      <c r="G99" s="33"/>
      <c r="H99" s="33"/>
      <c r="I99" s="33"/>
      <c r="J99" s="33"/>
      <c r="K99" s="83"/>
      <c r="L99" s="49"/>
      <c r="M99" s="53"/>
      <c r="O99" s="58"/>
    </row>
    <row r="100" spans="1:15">
      <c r="A100" s="24">
        <v>322</v>
      </c>
      <c r="B100" s="20" t="s">
        <v>83</v>
      </c>
      <c r="C100" s="33">
        <v>18000</v>
      </c>
      <c r="D100" s="33"/>
      <c r="E100" s="33"/>
      <c r="F100" s="33"/>
      <c r="G100" s="33"/>
      <c r="H100" s="33"/>
      <c r="I100" s="33"/>
      <c r="J100" s="33">
        <f t="shared" ref="J100:J105" si="9">C100+D100-E100+F100-G100+H100-I100</f>
        <v>18000</v>
      </c>
      <c r="K100" s="49">
        <v>0</v>
      </c>
      <c r="L100" s="49">
        <f t="shared" ref="L100:L105" si="10">J100-K100</f>
        <v>18000</v>
      </c>
      <c r="M100" s="53">
        <f t="shared" ref="M100:M105" si="11">K100/$K$114</f>
        <v>0</v>
      </c>
      <c r="O100" s="58"/>
    </row>
    <row r="101" spans="1:15" hidden="1">
      <c r="A101" s="24">
        <v>323</v>
      </c>
      <c r="B101" s="20" t="s">
        <v>119</v>
      </c>
      <c r="C101" s="33">
        <v>0</v>
      </c>
      <c r="D101" s="33"/>
      <c r="E101" s="33"/>
      <c r="F101" s="33"/>
      <c r="G101" s="33"/>
      <c r="H101" s="33"/>
      <c r="I101" s="33"/>
      <c r="J101" s="33">
        <f t="shared" si="9"/>
        <v>0</v>
      </c>
      <c r="K101" s="49"/>
      <c r="L101" s="49">
        <f t="shared" si="10"/>
        <v>0</v>
      </c>
      <c r="M101" s="53">
        <f t="shared" si="11"/>
        <v>0</v>
      </c>
    </row>
    <row r="102" spans="1:15">
      <c r="A102" s="24">
        <v>324</v>
      </c>
      <c r="B102" s="20" t="s">
        <v>120</v>
      </c>
      <c r="C102" s="33">
        <v>2147922.54</v>
      </c>
      <c r="D102" s="33"/>
      <c r="E102" s="33"/>
      <c r="F102" s="33"/>
      <c r="G102" s="33"/>
      <c r="H102" s="33"/>
      <c r="I102" s="33"/>
      <c r="J102" s="33">
        <f t="shared" si="9"/>
        <v>2147922.54</v>
      </c>
      <c r="K102" s="49">
        <v>89975</v>
      </c>
      <c r="L102" s="49">
        <f t="shared" si="10"/>
        <v>2057947.54</v>
      </c>
      <c r="M102" s="53">
        <f t="shared" si="11"/>
        <v>3.0134304483958717E-2</v>
      </c>
    </row>
    <row r="103" spans="1:15">
      <c r="A103" s="24">
        <v>328</v>
      </c>
      <c r="B103" s="20" t="s">
        <v>84</v>
      </c>
      <c r="C103" s="33">
        <v>7500</v>
      </c>
      <c r="D103" s="33"/>
      <c r="E103" s="33"/>
      <c r="F103" s="33"/>
      <c r="G103" s="33"/>
      <c r="H103" s="33"/>
      <c r="I103" s="33"/>
      <c r="J103" s="33">
        <f t="shared" si="9"/>
        <v>7500</v>
      </c>
      <c r="K103" s="49">
        <v>0</v>
      </c>
      <c r="L103" s="49">
        <f t="shared" si="10"/>
        <v>7500</v>
      </c>
      <c r="M103" s="53">
        <f t="shared" si="11"/>
        <v>0</v>
      </c>
    </row>
    <row r="104" spans="1:15">
      <c r="A104" s="24">
        <v>329</v>
      </c>
      <c r="B104" s="20" t="s">
        <v>85</v>
      </c>
      <c r="C104" s="33">
        <v>10500</v>
      </c>
      <c r="D104" s="33"/>
      <c r="E104" s="33"/>
      <c r="F104" s="33"/>
      <c r="G104" s="33"/>
      <c r="H104" s="33"/>
      <c r="I104" s="33"/>
      <c r="J104" s="33">
        <f t="shared" si="9"/>
        <v>10500</v>
      </c>
      <c r="K104" s="49">
        <v>997</v>
      </c>
      <c r="L104" s="49">
        <f t="shared" si="10"/>
        <v>9503</v>
      </c>
      <c r="M104" s="53">
        <f t="shared" si="11"/>
        <v>3.3391388241741418E-4</v>
      </c>
    </row>
    <row r="105" spans="1:15">
      <c r="A105" s="24">
        <v>332</v>
      </c>
      <c r="B105" s="20" t="s">
        <v>140</v>
      </c>
      <c r="C105" s="33">
        <v>2388358.86</v>
      </c>
      <c r="D105" s="33"/>
      <c r="E105" s="33"/>
      <c r="F105" s="33"/>
      <c r="G105" s="33"/>
      <c r="H105" s="33"/>
      <c r="I105" s="33"/>
      <c r="J105" s="33">
        <f t="shared" si="9"/>
        <v>2388358.86</v>
      </c>
      <c r="K105" s="49">
        <v>0</v>
      </c>
      <c r="L105" s="49">
        <f t="shared" si="10"/>
        <v>2388358.86</v>
      </c>
      <c r="M105" s="53">
        <f t="shared" si="11"/>
        <v>0</v>
      </c>
    </row>
    <row r="106" spans="1:15">
      <c r="A106" s="24"/>
      <c r="B106" s="20"/>
      <c r="C106" s="33"/>
      <c r="D106" s="33"/>
      <c r="E106" s="33"/>
      <c r="F106" s="33"/>
      <c r="G106" s="33"/>
      <c r="H106" s="33"/>
      <c r="I106" s="33"/>
      <c r="J106" s="33"/>
      <c r="K106" s="81"/>
      <c r="L106" s="49"/>
      <c r="M106" s="53"/>
      <c r="O106" s="12"/>
    </row>
    <row r="107" spans="1:15">
      <c r="A107" s="23">
        <v>4</v>
      </c>
      <c r="B107" s="23" t="s">
        <v>12</v>
      </c>
      <c r="C107" s="33"/>
      <c r="D107" s="33"/>
      <c r="E107" s="33"/>
      <c r="F107" s="33"/>
      <c r="G107" s="33"/>
      <c r="H107" s="33"/>
      <c r="I107" s="33"/>
      <c r="J107" s="33"/>
      <c r="K107" s="81"/>
      <c r="L107" s="49"/>
      <c r="M107" s="53"/>
      <c r="O107" s="12"/>
    </row>
    <row r="108" spans="1:15">
      <c r="A108" s="25">
        <v>413</v>
      </c>
      <c r="B108" s="26" t="s">
        <v>72</v>
      </c>
      <c r="C108" s="33">
        <v>20750</v>
      </c>
      <c r="D108" s="33"/>
      <c r="E108" s="33"/>
      <c r="F108" s="33"/>
      <c r="G108" s="33"/>
      <c r="H108" s="33"/>
      <c r="I108" s="33"/>
      <c r="J108" s="33">
        <f t="shared" ref="J108:J112" si="12">C108+D108-E108+F108-G108+H108-I108</f>
        <v>20750</v>
      </c>
      <c r="K108" s="49">
        <v>0</v>
      </c>
      <c r="L108" s="49">
        <f t="shared" ref="L108:L112" si="13">J108-K108</f>
        <v>20750</v>
      </c>
      <c r="M108" s="53">
        <f>K108/$K$114</f>
        <v>0</v>
      </c>
      <c r="O108" s="12"/>
    </row>
    <row r="109" spans="1:15">
      <c r="A109" s="25">
        <v>415</v>
      </c>
      <c r="B109" s="26" t="s">
        <v>73</v>
      </c>
      <c r="C109" s="33">
        <v>7600</v>
      </c>
      <c r="D109" s="33"/>
      <c r="E109" s="33"/>
      <c r="F109" s="33"/>
      <c r="G109" s="33"/>
      <c r="H109" s="33"/>
      <c r="I109" s="33"/>
      <c r="J109" s="33">
        <f t="shared" si="12"/>
        <v>7600</v>
      </c>
      <c r="K109" s="49">
        <v>0</v>
      </c>
      <c r="L109" s="49">
        <f t="shared" si="13"/>
        <v>7600</v>
      </c>
      <c r="M109" s="53">
        <f>K109/$K$114</f>
        <v>0</v>
      </c>
      <c r="O109" s="12"/>
    </row>
    <row r="110" spans="1:15">
      <c r="A110" s="25">
        <v>419</v>
      </c>
      <c r="B110" s="26" t="s">
        <v>74</v>
      </c>
      <c r="C110" s="33">
        <v>19200</v>
      </c>
      <c r="D110" s="33"/>
      <c r="E110" s="33"/>
      <c r="F110" s="33"/>
      <c r="G110" s="33"/>
      <c r="H110" s="33"/>
      <c r="I110" s="33"/>
      <c r="J110" s="33">
        <f t="shared" si="12"/>
        <v>19200</v>
      </c>
      <c r="K110" s="49">
        <v>7800</v>
      </c>
      <c r="L110" s="49">
        <f t="shared" si="13"/>
        <v>11400</v>
      </c>
      <c r="M110" s="53">
        <f>K110/$K$114</f>
        <v>2.6123653789928091E-3</v>
      </c>
      <c r="O110" s="12"/>
    </row>
    <row r="111" spans="1:15">
      <c r="A111" s="25">
        <v>453</v>
      </c>
      <c r="B111" s="26" t="s">
        <v>75</v>
      </c>
      <c r="C111" s="33">
        <v>255000</v>
      </c>
      <c r="D111" s="33"/>
      <c r="E111" s="33"/>
      <c r="F111" s="33"/>
      <c r="G111" s="33"/>
      <c r="H111" s="33"/>
      <c r="I111" s="33"/>
      <c r="J111" s="33">
        <f t="shared" si="12"/>
        <v>255000</v>
      </c>
      <c r="K111" s="49">
        <v>97364.86</v>
      </c>
      <c r="L111" s="49">
        <f t="shared" si="13"/>
        <v>157635.14000000001</v>
      </c>
      <c r="M111" s="53">
        <f>K111/$K$114</f>
        <v>3.2609306332625869E-2</v>
      </c>
      <c r="O111" s="12"/>
    </row>
    <row r="112" spans="1:15">
      <c r="A112" s="25">
        <v>472</v>
      </c>
      <c r="B112" s="26" t="s">
        <v>105</v>
      </c>
      <c r="C112" s="33">
        <v>8200</v>
      </c>
      <c r="D112" s="33">
        <v>12000</v>
      </c>
      <c r="E112" s="33"/>
      <c r="F112" s="33"/>
      <c r="G112" s="33"/>
      <c r="H112" s="33"/>
      <c r="I112" s="33"/>
      <c r="J112" s="33">
        <f t="shared" si="12"/>
        <v>20200</v>
      </c>
      <c r="K112" s="49">
        <v>4628.7699999999995</v>
      </c>
      <c r="L112" s="49">
        <f t="shared" si="13"/>
        <v>15571.23</v>
      </c>
      <c r="M112" s="53">
        <f>K112/$K$114</f>
        <v>1.5502613455539158E-3</v>
      </c>
      <c r="O112" s="12"/>
    </row>
    <row r="113" spans="1:15" ht="20.25" customHeight="1" thickBot="1">
      <c r="A113" s="22"/>
      <c r="B113" s="64"/>
      <c r="C113" s="18"/>
      <c r="D113" s="33"/>
      <c r="E113" s="33"/>
      <c r="F113" s="44"/>
      <c r="G113" s="44"/>
      <c r="H113" s="44"/>
      <c r="I113" s="44"/>
      <c r="J113" s="18"/>
      <c r="K113" s="84"/>
      <c r="L113" s="50"/>
      <c r="M113" s="53"/>
      <c r="O113" s="12"/>
    </row>
    <row r="114" spans="1:15" ht="20.25" customHeight="1" thickBot="1">
      <c r="A114" s="65"/>
      <c r="B114" s="8" t="s">
        <v>7</v>
      </c>
      <c r="C114" s="94">
        <f>SUM(C21:C113)</f>
        <v>10577202.25</v>
      </c>
      <c r="D114" s="94">
        <f>SUM(D21:D113)</f>
        <v>280000</v>
      </c>
      <c r="E114" s="94">
        <f>SUM(E21:E113)</f>
        <v>280000</v>
      </c>
      <c r="F114" s="94">
        <f t="shared" ref="F114:I114" si="14">SUM(F21:F113)</f>
        <v>0</v>
      </c>
      <c r="G114" s="94">
        <f t="shared" si="14"/>
        <v>0</v>
      </c>
      <c r="H114" s="94">
        <f t="shared" si="14"/>
        <v>0</v>
      </c>
      <c r="I114" s="94">
        <f t="shared" si="14"/>
        <v>0</v>
      </c>
      <c r="J114" s="97">
        <f>ROUND((SUM(J21:J113)),2)</f>
        <v>10577202.25</v>
      </c>
      <c r="K114" s="97">
        <f>ROUND((SUM(K21:K113)),2)</f>
        <v>2985799.79</v>
      </c>
      <c r="L114" s="97">
        <f>ROUND((SUM(L21:L113)),2)</f>
        <v>7591402.46</v>
      </c>
      <c r="M114" s="98">
        <f>K114/K114</f>
        <v>1</v>
      </c>
      <c r="O114" s="12"/>
    </row>
    <row r="115" spans="1:15" ht="20.25" customHeight="1">
      <c r="A115" s="66"/>
      <c r="B115" s="13"/>
      <c r="C115" s="14"/>
      <c r="D115" s="14"/>
      <c r="E115" s="14"/>
      <c r="F115" s="14"/>
      <c r="G115" s="27"/>
      <c r="H115" s="27"/>
      <c r="I115" s="14"/>
      <c r="J115" s="14"/>
      <c r="K115" s="85"/>
      <c r="L115" s="14"/>
      <c r="M115" s="15"/>
      <c r="O115" s="12"/>
    </row>
    <row r="116" spans="1:15" ht="20.25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85"/>
      <c r="L116" s="14"/>
      <c r="M116" s="15"/>
      <c r="O116" s="12"/>
    </row>
    <row r="117" spans="1:15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16"/>
      <c r="K117" s="86"/>
      <c r="L117" s="10"/>
      <c r="M117" s="11"/>
    </row>
    <row r="118" spans="1:15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16"/>
      <c r="K118" s="86"/>
      <c r="L118" s="10"/>
      <c r="M118" s="11"/>
    </row>
    <row r="119" spans="1:15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16"/>
      <c r="K119" s="86"/>
      <c r="L119" s="10"/>
      <c r="M119" s="11"/>
      <c r="O119" s="3"/>
    </row>
    <row r="120" spans="1:15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16"/>
      <c r="K120" s="86"/>
      <c r="L120" s="10"/>
      <c r="M120" s="11"/>
    </row>
    <row r="121" spans="1:15" s="12" customFormat="1">
      <c r="A121" s="105" t="s">
        <v>108</v>
      </c>
      <c r="B121" s="35"/>
      <c r="C121" s="101"/>
      <c r="D121" s="9"/>
      <c r="E121" s="9"/>
      <c r="G121" s="41"/>
      <c r="H121" s="41"/>
      <c r="I121" s="41"/>
      <c r="J121" s="16"/>
      <c r="K121" s="86"/>
      <c r="L121" s="10"/>
      <c r="M121" s="11"/>
    </row>
    <row r="122" spans="1:15" s="12" customFormat="1">
      <c r="A122" s="106" t="s">
        <v>136</v>
      </c>
      <c r="B122" s="36"/>
      <c r="C122" s="101">
        <v>656637.59</v>
      </c>
      <c r="D122" s="9"/>
      <c r="E122" s="67"/>
      <c r="G122" s="41"/>
      <c r="H122" s="41"/>
      <c r="I122" s="41"/>
      <c r="J122" s="16"/>
      <c r="K122" s="86"/>
      <c r="L122" s="10"/>
      <c r="M122" s="11"/>
      <c r="O122" s="3"/>
    </row>
    <row r="123" spans="1:15" s="12" customFormat="1">
      <c r="A123" s="106" t="s">
        <v>76</v>
      </c>
      <c r="B123" s="36"/>
      <c r="C123" s="101">
        <f>K18</f>
        <v>2978225.67</v>
      </c>
      <c r="D123" s="9"/>
      <c r="E123" s="67"/>
      <c r="G123" s="41"/>
      <c r="H123" s="41"/>
      <c r="I123" s="77"/>
      <c r="J123" s="16"/>
      <c r="K123" s="86"/>
      <c r="L123" s="10"/>
      <c r="M123" s="11"/>
      <c r="O123" s="3"/>
    </row>
    <row r="124" spans="1:15" s="12" customFormat="1">
      <c r="A124" s="106" t="s">
        <v>87</v>
      </c>
      <c r="B124" s="36"/>
      <c r="C124" s="124">
        <f>-K114</f>
        <v>-2985799.79</v>
      </c>
      <c r="D124" s="9"/>
      <c r="E124" s="67"/>
      <c r="G124" s="41"/>
      <c r="H124" s="41"/>
      <c r="I124" s="41"/>
      <c r="J124" s="16"/>
      <c r="K124" s="86"/>
      <c r="L124" s="10"/>
      <c r="M124" s="11"/>
      <c r="O124" s="3"/>
    </row>
    <row r="125" spans="1:15" s="12" customFormat="1" ht="18" customHeight="1">
      <c r="A125" s="107" t="s">
        <v>107</v>
      </c>
      <c r="B125" s="36"/>
      <c r="C125" s="119">
        <f>SUM(C122:C124)</f>
        <v>649063.46999999974</v>
      </c>
      <c r="D125" s="68"/>
      <c r="E125" s="67"/>
      <c r="G125" s="41"/>
      <c r="H125" s="41"/>
      <c r="I125" s="41"/>
      <c r="J125" s="16"/>
      <c r="K125" s="86"/>
      <c r="L125" s="10"/>
      <c r="M125" s="11"/>
      <c r="O125" s="3"/>
    </row>
    <row r="126" spans="1:15" s="12" customFormat="1" ht="5.0999999999999996" customHeight="1">
      <c r="A126" s="106"/>
      <c r="B126" s="36"/>
      <c r="C126" s="101"/>
      <c r="D126" s="9"/>
      <c r="E126" s="9"/>
      <c r="G126" s="48"/>
      <c r="H126" s="48"/>
      <c r="I126" s="41"/>
      <c r="J126" s="16"/>
      <c r="K126" s="86"/>
      <c r="L126" s="10"/>
      <c r="M126" s="11"/>
      <c r="O126" s="3"/>
    </row>
    <row r="127" spans="1:15" s="12" customFormat="1" ht="5.0999999999999996" customHeight="1">
      <c r="A127" s="106"/>
      <c r="B127" s="36"/>
      <c r="C127" s="101"/>
      <c r="D127" s="9"/>
      <c r="E127" s="9"/>
      <c r="G127" s="41"/>
      <c r="H127" s="41"/>
      <c r="I127" s="41"/>
      <c r="J127" s="16"/>
      <c r="K127" s="86"/>
      <c r="L127" s="10"/>
      <c r="M127" s="11"/>
      <c r="O127" s="3"/>
    </row>
    <row r="128" spans="1:15" s="12" customFormat="1" ht="6.95" customHeight="1">
      <c r="A128" s="106"/>
      <c r="B128" s="36"/>
      <c r="C128" s="101"/>
      <c r="D128" s="9"/>
      <c r="E128" s="9"/>
      <c r="G128" s="41"/>
      <c r="H128" s="41"/>
      <c r="I128" s="41"/>
      <c r="J128" s="16"/>
      <c r="K128" s="86"/>
      <c r="L128" s="10"/>
      <c r="M128" s="11"/>
      <c r="O128" s="3"/>
    </row>
    <row r="129" spans="1:15" s="12" customFormat="1">
      <c r="A129" s="107" t="s">
        <v>166</v>
      </c>
      <c r="B129" s="39"/>
      <c r="C129" s="101">
        <f>C125+C126</f>
        <v>649063.46999999974</v>
      </c>
      <c r="D129" s="69"/>
      <c r="G129" s="41"/>
      <c r="H129" s="41"/>
      <c r="I129" s="41"/>
      <c r="J129" s="16"/>
      <c r="K129" s="86"/>
      <c r="L129" s="10"/>
      <c r="M129" s="11"/>
      <c r="O129" s="3"/>
    </row>
    <row r="130" spans="1:15" s="12" customFormat="1" ht="6.95" customHeight="1" thickBot="1">
      <c r="A130" s="108"/>
      <c r="B130" s="38"/>
      <c r="C130" s="104"/>
      <c r="D130" s="69"/>
      <c r="G130" s="41"/>
      <c r="H130" s="41"/>
      <c r="I130" s="41"/>
      <c r="J130" s="16"/>
      <c r="K130" s="86"/>
      <c r="L130" s="10"/>
      <c r="M130" s="11"/>
      <c r="O130" s="3"/>
    </row>
    <row r="131" spans="1:15">
      <c r="A131" s="17"/>
      <c r="C131" s="45"/>
      <c r="D131" s="69"/>
      <c r="G131" s="45"/>
      <c r="H131" s="45"/>
      <c r="I131" s="45"/>
      <c r="J131" s="45"/>
      <c r="L131" s="45"/>
      <c r="M131" s="45"/>
    </row>
    <row r="132" spans="1:15">
      <c r="A132" s="17"/>
      <c r="B132" s="17"/>
      <c r="C132" s="123"/>
      <c r="D132" s="69"/>
      <c r="G132" s="45"/>
      <c r="H132" s="45"/>
      <c r="I132" s="45"/>
      <c r="J132" s="45"/>
      <c r="L132" s="45"/>
      <c r="M132" s="45"/>
    </row>
    <row r="133" spans="1:15">
      <c r="A133" s="13"/>
      <c r="B133" s="70" t="s">
        <v>167</v>
      </c>
      <c r="C133" s="123"/>
      <c r="D133" s="69"/>
      <c r="E133" s="40"/>
      <c r="G133" s="45"/>
      <c r="H133" s="45"/>
      <c r="J133" s="45"/>
      <c r="L133" s="45"/>
      <c r="M133" s="45"/>
    </row>
    <row r="134" spans="1:15">
      <c r="A134" s="13"/>
      <c r="B134" s="17"/>
      <c r="C134" s="45"/>
      <c r="D134" s="69"/>
      <c r="E134" s="45"/>
      <c r="F134" s="45"/>
      <c r="G134" s="45"/>
      <c r="H134" s="45"/>
      <c r="I134" s="45"/>
      <c r="J134" s="45"/>
      <c r="L134" s="45"/>
      <c r="M134" s="45"/>
    </row>
    <row r="135" spans="1:15">
      <c r="A135" s="13"/>
      <c r="B135" s="17"/>
      <c r="C135" s="45"/>
      <c r="D135" s="69"/>
      <c r="E135" s="45"/>
      <c r="F135" s="45"/>
      <c r="G135" s="45"/>
      <c r="H135" s="45"/>
      <c r="I135" s="45"/>
      <c r="J135" s="45"/>
      <c r="L135" s="45"/>
      <c r="M135" s="45"/>
    </row>
    <row r="136" spans="1:15">
      <c r="A136" s="13"/>
      <c r="B136" s="17"/>
      <c r="C136" s="45"/>
      <c r="D136" s="69"/>
      <c r="E136" s="45"/>
      <c r="F136" s="45"/>
      <c r="G136" s="45"/>
      <c r="H136" s="45"/>
      <c r="I136" s="45"/>
      <c r="J136" s="45"/>
      <c r="L136" s="45"/>
      <c r="M136" s="45"/>
    </row>
    <row r="137" spans="1:15">
      <c r="A137" s="13"/>
      <c r="B137" s="17"/>
      <c r="C137" s="45"/>
      <c r="E137" s="45"/>
      <c r="F137" s="45"/>
      <c r="G137" s="45"/>
      <c r="H137" s="45"/>
      <c r="I137" s="45"/>
      <c r="J137" s="45"/>
      <c r="L137" s="45"/>
      <c r="M137" s="45"/>
    </row>
    <row r="138" spans="1:15">
      <c r="A138" s="66"/>
      <c r="B138" s="17"/>
      <c r="C138" s="45"/>
      <c r="D138" s="16"/>
      <c r="E138" s="40"/>
      <c r="F138" s="40"/>
      <c r="G138" s="45"/>
      <c r="H138" s="45"/>
      <c r="I138" s="45"/>
      <c r="J138" s="45"/>
      <c r="L138" s="45"/>
      <c r="M138" s="45"/>
    </row>
    <row r="139" spans="1:15">
      <c r="A139" s="66"/>
      <c r="B139" s="45"/>
      <c r="C139" s="45"/>
      <c r="D139" s="45"/>
      <c r="E139" s="40"/>
      <c r="F139" s="40"/>
      <c r="G139" s="45"/>
      <c r="H139" s="45"/>
      <c r="I139" s="45"/>
      <c r="J139" s="45"/>
      <c r="L139" s="45"/>
      <c r="M139" s="45"/>
    </row>
    <row r="140" spans="1:15" ht="18.75">
      <c r="A140" s="66"/>
      <c r="B140" s="46" t="s">
        <v>124</v>
      </c>
      <c r="D140" s="112" t="s">
        <v>138</v>
      </c>
      <c r="E140" s="46"/>
      <c r="F140" s="46"/>
      <c r="I140" s="113" t="s">
        <v>127</v>
      </c>
      <c r="K140" s="88"/>
      <c r="L140" s="51"/>
      <c r="M140" s="46"/>
    </row>
    <row r="141" spans="1:15" s="115" customFormat="1" ht="15.75">
      <c r="A141" s="114"/>
      <c r="B141" s="56" t="s">
        <v>125</v>
      </c>
      <c r="D141" s="116" t="s">
        <v>126</v>
      </c>
      <c r="E141" s="56"/>
      <c r="F141" s="56"/>
      <c r="I141" s="117" t="s">
        <v>123</v>
      </c>
      <c r="K141" s="118"/>
      <c r="L141" s="56"/>
      <c r="M141" s="56"/>
    </row>
    <row r="142" spans="1:15" ht="18.75">
      <c r="A142" s="66"/>
      <c r="B142" s="47"/>
      <c r="C142" s="71"/>
      <c r="D142" s="51"/>
      <c r="E142" s="47"/>
      <c r="F142" s="47"/>
      <c r="G142" s="47"/>
      <c r="H142" s="47"/>
      <c r="I142" s="51"/>
      <c r="J142" s="71"/>
      <c r="K142" s="88"/>
      <c r="L142" s="47"/>
      <c r="M142" s="47"/>
    </row>
    <row r="143" spans="1:15" ht="18.75">
      <c r="A143" s="66"/>
      <c r="B143" s="47"/>
      <c r="C143" s="47"/>
      <c r="D143" s="47"/>
      <c r="F143" s="47"/>
      <c r="G143" s="47"/>
      <c r="H143" s="47"/>
      <c r="I143" s="112"/>
      <c r="J143" s="47"/>
      <c r="K143" s="88"/>
      <c r="M143" s="47"/>
    </row>
  </sheetData>
  <mergeCells count="3">
    <mergeCell ref="A6:A7"/>
    <mergeCell ref="B6:B7"/>
    <mergeCell ref="K6:K7"/>
  </mergeCells>
  <printOptions horizontalCentered="1"/>
  <pageMargins left="0" right="0" top="0.78740157480314965" bottom="0.86614173228346458" header="0.31496062992125984" footer="0.31496062992125984"/>
  <pageSetup scale="5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showGridLines="0" zoomScale="75" zoomScaleNormal="75" workbookViewId="0">
      <selection activeCell="K15" sqref="K15"/>
    </sheetView>
  </sheetViews>
  <sheetFormatPr baseColWidth="10" defaultColWidth="11.42578125" defaultRowHeight="18"/>
  <cols>
    <col min="1" max="1" width="10.7109375" style="3" customWidth="1"/>
    <col min="2" max="2" width="64.7109375" style="3" customWidth="1"/>
    <col min="3" max="3" width="19.5703125" style="3" customWidth="1"/>
    <col min="4" max="9" width="16.42578125" style="3" customWidth="1"/>
    <col min="10" max="10" width="19.28515625" style="3" customWidth="1"/>
    <col min="11" max="11" width="19.28515625" style="87" customWidth="1"/>
    <col min="12" max="12" width="19.28515625" style="3" customWidth="1"/>
    <col min="13" max="13" width="12.7109375" style="3" customWidth="1"/>
    <col min="14" max="14" width="7" style="3" customWidth="1"/>
    <col min="15" max="15" width="19.5703125" style="3" bestFit="1" customWidth="1"/>
    <col min="16" max="16" width="15.42578125" style="3" bestFit="1" customWidth="1"/>
    <col min="17" max="16384" width="11.42578125" style="3"/>
  </cols>
  <sheetData>
    <row r="1" spans="1:1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80"/>
      <c r="L1" s="42"/>
      <c r="M1" s="42"/>
    </row>
    <row r="2" spans="1:1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80"/>
      <c r="L2" s="42"/>
      <c r="M2" s="42"/>
    </row>
    <row r="3" spans="1:15">
      <c r="A3" s="42" t="s">
        <v>169</v>
      </c>
      <c r="B3" s="42"/>
      <c r="C3" s="42"/>
      <c r="D3" s="42"/>
      <c r="E3" s="42"/>
      <c r="F3" s="42"/>
      <c r="G3" s="42"/>
      <c r="H3" s="42"/>
      <c r="I3" s="42"/>
      <c r="J3" s="42"/>
      <c r="K3" s="80"/>
      <c r="L3" s="42"/>
      <c r="M3" s="42"/>
    </row>
    <row r="4" spans="1:15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80"/>
      <c r="L4" s="42"/>
      <c r="M4" s="42"/>
    </row>
    <row r="5" spans="1:15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80"/>
      <c r="L5" s="42"/>
      <c r="M5" s="42"/>
    </row>
    <row r="6" spans="1:15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1" t="s">
        <v>1</v>
      </c>
      <c r="K6" s="188" t="s">
        <v>2</v>
      </c>
      <c r="L6" s="2" t="s">
        <v>27</v>
      </c>
      <c r="M6" s="1" t="s">
        <v>29</v>
      </c>
    </row>
    <row r="7" spans="1:15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4" t="s">
        <v>4</v>
      </c>
      <c r="K7" s="189"/>
      <c r="L7" s="6" t="s">
        <v>28</v>
      </c>
      <c r="M7" s="7" t="s">
        <v>30</v>
      </c>
    </row>
    <row r="8" spans="1:15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81"/>
      <c r="L8" s="74"/>
      <c r="M8" s="43"/>
    </row>
    <row r="9" spans="1:15">
      <c r="A9" s="78"/>
      <c r="B9" s="79"/>
      <c r="C9" s="43"/>
      <c r="D9" s="43"/>
      <c r="E9" s="43"/>
      <c r="F9" s="43"/>
      <c r="G9" s="43"/>
      <c r="H9" s="43"/>
      <c r="I9" s="43"/>
      <c r="J9" s="43"/>
      <c r="K9" s="81"/>
      <c r="L9" s="74"/>
      <c r="M9" s="43"/>
    </row>
    <row r="10" spans="1:15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33">
        <f t="shared" ref="J10:J17" si="0">C10+D10-E10+F10-G10+H10-I10</f>
        <v>656637.59</v>
      </c>
      <c r="K10" s="49">
        <v>0</v>
      </c>
      <c r="L10" s="74">
        <f t="shared" ref="L10:L15" si="1">J10-K10+I10</f>
        <v>656637.59</v>
      </c>
      <c r="M10" s="57">
        <f>K10/K18</f>
        <v>0</v>
      </c>
    </row>
    <row r="11" spans="1:15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33">
        <f t="shared" si="0"/>
        <v>90000</v>
      </c>
      <c r="K11" s="49">
        <f>6885+7250+5010+5735+2005+6610+400+7470+800+3895+935+2335+600+2438+200+605+175+315+64+80+32+32+175+70+315+455+32+64+32+455+32+32+32+32+385</f>
        <v>55982</v>
      </c>
      <c r="L11" s="72">
        <f t="shared" si="1"/>
        <v>34018</v>
      </c>
      <c r="M11" s="57">
        <f>K11/K18</f>
        <v>1.7270496741189426E-2</v>
      </c>
    </row>
    <row r="12" spans="1:15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33">
        <f t="shared" si="0"/>
        <v>4000</v>
      </c>
      <c r="K12" s="49">
        <f>154.29+74.21+47.84+63.83+246.6+43.51+44.38+83.46</f>
        <v>758.12</v>
      </c>
      <c r="L12" s="72">
        <f t="shared" si="1"/>
        <v>3241.88</v>
      </c>
      <c r="M12" s="57">
        <f>K12/K18</f>
        <v>2.3388069360563268E-4</v>
      </c>
    </row>
    <row r="13" spans="1:15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33">
        <f t="shared" si="0"/>
        <v>2345924.88</v>
      </c>
      <c r="K13" s="49">
        <f>195493.74+40518.88+404398.5+199964.08+198363.1+3864.56+199964.08+228755.24+228755.24</f>
        <v>1700077.42</v>
      </c>
      <c r="L13" s="72">
        <f t="shared" si="1"/>
        <v>645847.46</v>
      </c>
      <c r="M13" s="57">
        <f>K13/K18</f>
        <v>0.52447539462469595</v>
      </c>
      <c r="O13" s="58"/>
    </row>
    <row r="14" spans="1:15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33">
        <f t="shared" si="0"/>
        <v>4496358.8600000003</v>
      </c>
      <c r="K14" s="49">
        <v>0</v>
      </c>
      <c r="L14" s="72">
        <f t="shared" si="1"/>
        <v>4496358.8600000003</v>
      </c>
      <c r="M14" s="57">
        <f>K14/K18</f>
        <v>0</v>
      </c>
      <c r="O14" s="58"/>
    </row>
    <row r="15" spans="1:15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33">
        <f t="shared" si="0"/>
        <v>2969280.92</v>
      </c>
      <c r="K15" s="49">
        <f>174488.09+436428.77+714931.38+46144.8+35496.86+19055.4+27315.53+13360.95+17442.43</f>
        <v>1484664.21</v>
      </c>
      <c r="L15" s="74">
        <f t="shared" si="1"/>
        <v>1484616.71</v>
      </c>
      <c r="M15" s="57">
        <v>0</v>
      </c>
      <c r="O15" s="58"/>
    </row>
    <row r="16" spans="1:15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33">
        <f>C16+D16-E16+F16-G16+H16-I16</f>
        <v>15000</v>
      </c>
      <c r="K16" s="49">
        <v>0</v>
      </c>
      <c r="L16" s="74">
        <f>J16-K16+I16</f>
        <v>15000</v>
      </c>
      <c r="M16" s="57">
        <v>0</v>
      </c>
      <c r="O16" s="58"/>
    </row>
    <row r="17" spans="1:15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33">
        <f t="shared" si="0"/>
        <v>0</v>
      </c>
      <c r="K17" s="49">
        <v>0</v>
      </c>
      <c r="L17" s="75">
        <f>-K17+I17</f>
        <v>0</v>
      </c>
      <c r="M17" s="61">
        <f>K17/K18</f>
        <v>0</v>
      </c>
      <c r="O17" s="58"/>
    </row>
    <row r="18" spans="1:15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5">
        <f>ROUND((SUM(J10:J17)),2)</f>
        <v>10577202.25</v>
      </c>
      <c r="K18" s="95">
        <f>ROUND((SUM(K10:K17)),2)</f>
        <v>3241481.75</v>
      </c>
      <c r="L18" s="95">
        <f>ROUND((SUM(L10:L17)),2)</f>
        <v>7335720.5</v>
      </c>
      <c r="M18" s="96">
        <f>SUM(M17:M17)</f>
        <v>0</v>
      </c>
      <c r="O18" s="58"/>
    </row>
    <row r="19" spans="1:15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82"/>
      <c r="L19" s="43"/>
      <c r="M19" s="43"/>
      <c r="O19" s="58"/>
    </row>
    <row r="20" spans="1:15">
      <c r="A20" s="78" t="s">
        <v>5</v>
      </c>
      <c r="B20" s="79" t="s">
        <v>102</v>
      </c>
      <c r="C20" s="43"/>
      <c r="D20" s="43"/>
      <c r="E20" s="43"/>
      <c r="F20" s="43"/>
      <c r="G20" s="43"/>
      <c r="H20" s="43"/>
      <c r="I20" s="43"/>
      <c r="J20" s="43"/>
      <c r="K20" s="82"/>
      <c r="L20" s="43"/>
      <c r="M20" s="43"/>
      <c r="O20" s="58"/>
    </row>
    <row r="21" spans="1:15">
      <c r="A21" s="23">
        <v>0</v>
      </c>
      <c r="B21" s="23" t="s">
        <v>9</v>
      </c>
      <c r="C21" s="33"/>
      <c r="D21" s="33"/>
      <c r="E21" s="33"/>
      <c r="F21" s="33"/>
      <c r="G21" s="33"/>
      <c r="H21" s="33"/>
      <c r="I21" s="33"/>
      <c r="J21" s="33"/>
      <c r="K21" s="81"/>
      <c r="L21" s="49"/>
      <c r="M21" s="53"/>
      <c r="O21" s="58"/>
    </row>
    <row r="22" spans="1:15">
      <c r="A22" s="19" t="s">
        <v>13</v>
      </c>
      <c r="B22" s="20" t="s">
        <v>79</v>
      </c>
      <c r="C22" s="33">
        <v>669886</v>
      </c>
      <c r="D22" s="33"/>
      <c r="E22" s="33"/>
      <c r="F22" s="33"/>
      <c r="G22" s="33"/>
      <c r="H22" s="33"/>
      <c r="I22" s="33"/>
      <c r="J22" s="33">
        <f t="shared" ref="J22:J69" si="2">C22+D22-E22+F22-G22+H22-I22</f>
        <v>669886</v>
      </c>
      <c r="K22" s="49">
        <v>426785.99</v>
      </c>
      <c r="L22" s="49">
        <f>J22-K22</f>
        <v>243100.01</v>
      </c>
      <c r="M22" s="53">
        <f t="shared" ref="M22:M33" si="3">K22/$K$114</f>
        <v>0.1229527525431392</v>
      </c>
      <c r="O22" s="58"/>
    </row>
    <row r="23" spans="1:15">
      <c r="A23" s="19" t="s">
        <v>31</v>
      </c>
      <c r="B23" s="20" t="s">
        <v>32</v>
      </c>
      <c r="C23" s="33">
        <v>4500</v>
      </c>
      <c r="D23" s="33"/>
      <c r="E23" s="33"/>
      <c r="F23" s="33"/>
      <c r="G23" s="33"/>
      <c r="H23" s="33"/>
      <c r="I23" s="33"/>
      <c r="J23" s="33">
        <f t="shared" si="2"/>
        <v>4500</v>
      </c>
      <c r="K23" s="49">
        <v>3000</v>
      </c>
      <c r="L23" s="49">
        <f t="shared" ref="L23:L69" si="4">J23-K23</f>
        <v>1500</v>
      </c>
      <c r="M23" s="53">
        <f t="shared" si="3"/>
        <v>8.6426983610548604E-4</v>
      </c>
      <c r="O23" s="58"/>
    </row>
    <row r="24" spans="1:15">
      <c r="A24" s="19" t="s">
        <v>14</v>
      </c>
      <c r="B24" s="20" t="s">
        <v>38</v>
      </c>
      <c r="C24" s="33">
        <v>112250</v>
      </c>
      <c r="D24" s="33"/>
      <c r="E24" s="33"/>
      <c r="F24" s="33"/>
      <c r="G24" s="33"/>
      <c r="H24" s="33"/>
      <c r="I24" s="33"/>
      <c r="J24" s="33">
        <f t="shared" si="2"/>
        <v>112250</v>
      </c>
      <c r="K24" s="49">
        <v>65750</v>
      </c>
      <c r="L24" s="49">
        <f t="shared" si="4"/>
        <v>46500</v>
      </c>
      <c r="M24" s="53">
        <f t="shared" si="3"/>
        <v>1.8941913907978569E-2</v>
      </c>
      <c r="O24" s="58"/>
    </row>
    <row r="25" spans="1:15" hidden="1">
      <c r="A25" s="19" t="s">
        <v>114</v>
      </c>
      <c r="B25" s="20" t="s">
        <v>115</v>
      </c>
      <c r="C25" s="33"/>
      <c r="D25" s="33"/>
      <c r="E25" s="33"/>
      <c r="F25" s="33"/>
      <c r="G25" s="33"/>
      <c r="H25" s="33"/>
      <c r="I25" s="33"/>
      <c r="J25" s="33">
        <f t="shared" si="2"/>
        <v>0</v>
      </c>
      <c r="K25" s="49"/>
      <c r="L25" s="49">
        <f t="shared" si="4"/>
        <v>0</v>
      </c>
      <c r="M25" s="53">
        <f t="shared" si="3"/>
        <v>0</v>
      </c>
      <c r="O25" s="58"/>
    </row>
    <row r="26" spans="1:15">
      <c r="A26" s="19" t="s">
        <v>116</v>
      </c>
      <c r="B26" s="20" t="s">
        <v>117</v>
      </c>
      <c r="C26" s="33">
        <v>0</v>
      </c>
      <c r="D26" s="33"/>
      <c r="E26" s="33"/>
      <c r="F26" s="33"/>
      <c r="G26" s="33"/>
      <c r="H26" s="33"/>
      <c r="I26" s="33"/>
      <c r="J26" s="33">
        <f t="shared" si="2"/>
        <v>0</v>
      </c>
      <c r="K26" s="49">
        <v>0</v>
      </c>
      <c r="L26" s="49">
        <f t="shared" si="4"/>
        <v>0</v>
      </c>
      <c r="M26" s="53">
        <f t="shared" si="3"/>
        <v>0</v>
      </c>
      <c r="O26" s="58"/>
    </row>
    <row r="27" spans="1:15">
      <c r="A27" s="19" t="s">
        <v>88</v>
      </c>
      <c r="B27" s="20" t="s">
        <v>89</v>
      </c>
      <c r="C27" s="33">
        <v>15400</v>
      </c>
      <c r="D27" s="33"/>
      <c r="E27" s="33"/>
      <c r="F27" s="33"/>
      <c r="G27" s="33"/>
      <c r="H27" s="33"/>
      <c r="I27" s="33"/>
      <c r="J27" s="33">
        <f t="shared" si="2"/>
        <v>15400</v>
      </c>
      <c r="K27" s="49">
        <v>5600</v>
      </c>
      <c r="L27" s="49">
        <f t="shared" si="4"/>
        <v>9800</v>
      </c>
      <c r="M27" s="53">
        <f t="shared" si="3"/>
        <v>1.6133036940635739E-3</v>
      </c>
      <c r="O27" s="58"/>
    </row>
    <row r="28" spans="1:15">
      <c r="A28" s="19" t="s">
        <v>20</v>
      </c>
      <c r="B28" s="20" t="s">
        <v>21</v>
      </c>
      <c r="C28" s="33">
        <v>31068.6</v>
      </c>
      <c r="D28" s="33"/>
      <c r="E28" s="33"/>
      <c r="F28" s="33"/>
      <c r="G28" s="33"/>
      <c r="H28" s="33"/>
      <c r="I28" s="33"/>
      <c r="J28" s="33">
        <f t="shared" si="2"/>
        <v>31068.6</v>
      </c>
      <c r="K28" s="49">
        <v>23250.36</v>
      </c>
      <c r="L28" s="49">
        <f t="shared" si="4"/>
        <v>7818.239999999998</v>
      </c>
      <c r="M28" s="53">
        <f t="shared" si="3"/>
        <v>6.6981949421978495E-3</v>
      </c>
      <c r="O28" s="58"/>
    </row>
    <row r="29" spans="1:15">
      <c r="A29" s="19" t="s">
        <v>15</v>
      </c>
      <c r="B29" s="20" t="s">
        <v>110</v>
      </c>
      <c r="C29" s="33">
        <v>94901</v>
      </c>
      <c r="D29" s="33"/>
      <c r="E29" s="33"/>
      <c r="F29" s="33"/>
      <c r="G29" s="33"/>
      <c r="H29" s="33"/>
      <c r="I29" s="33"/>
      <c r="J29" s="33">
        <f t="shared" si="2"/>
        <v>94901</v>
      </c>
      <c r="K29" s="49">
        <v>41344</v>
      </c>
      <c r="L29" s="49">
        <f t="shared" si="4"/>
        <v>53557</v>
      </c>
      <c r="M29" s="53">
        <f t="shared" si="3"/>
        <v>1.1910790701315071E-2</v>
      </c>
      <c r="O29" s="58"/>
    </row>
    <row r="30" spans="1:15">
      <c r="A30" s="19" t="s">
        <v>16</v>
      </c>
      <c r="B30" s="20" t="s">
        <v>111</v>
      </c>
      <c r="C30" s="33">
        <v>8132.05</v>
      </c>
      <c r="D30" s="33"/>
      <c r="E30" s="33"/>
      <c r="F30" s="33"/>
      <c r="G30" s="33"/>
      <c r="H30" s="33"/>
      <c r="I30" s="33"/>
      <c r="J30" s="33">
        <f t="shared" si="2"/>
        <v>8132.05</v>
      </c>
      <c r="K30" s="49">
        <v>3874.8</v>
      </c>
      <c r="L30" s="49">
        <f t="shared" si="4"/>
        <v>4257.25</v>
      </c>
      <c r="M30" s="53">
        <f t="shared" si="3"/>
        <v>1.1162909203138458E-3</v>
      </c>
      <c r="O30" s="58"/>
    </row>
    <row r="31" spans="1:15">
      <c r="A31" s="19" t="s">
        <v>17</v>
      </c>
      <c r="B31" s="21" t="s">
        <v>77</v>
      </c>
      <c r="C31" s="33">
        <v>59303</v>
      </c>
      <c r="D31" s="33"/>
      <c r="E31" s="33"/>
      <c r="F31" s="33"/>
      <c r="G31" s="33"/>
      <c r="H31" s="33"/>
      <c r="I31" s="33"/>
      <c r="J31" s="33">
        <f t="shared" si="2"/>
        <v>59303</v>
      </c>
      <c r="K31" s="49">
        <v>0</v>
      </c>
      <c r="L31" s="49">
        <f t="shared" si="4"/>
        <v>59303</v>
      </c>
      <c r="M31" s="53">
        <f t="shared" si="3"/>
        <v>0</v>
      </c>
      <c r="O31" s="58"/>
    </row>
    <row r="32" spans="1:15">
      <c r="A32" s="19" t="s">
        <v>18</v>
      </c>
      <c r="B32" s="20" t="s">
        <v>80</v>
      </c>
      <c r="C32" s="33">
        <v>59303</v>
      </c>
      <c r="D32" s="33"/>
      <c r="E32" s="33"/>
      <c r="F32" s="33"/>
      <c r="G32" s="33"/>
      <c r="H32" s="33"/>
      <c r="I32" s="33"/>
      <c r="J32" s="33">
        <f t="shared" si="2"/>
        <v>59303</v>
      </c>
      <c r="K32" s="49">
        <v>51031.86</v>
      </c>
      <c r="L32" s="49">
        <f t="shared" si="4"/>
        <v>8271.14</v>
      </c>
      <c r="M32" s="53">
        <f t="shared" si="3"/>
        <v>1.4701765759452704E-2</v>
      </c>
      <c r="O32" s="58"/>
    </row>
    <row r="33" spans="1:15">
      <c r="A33" s="19" t="s">
        <v>19</v>
      </c>
      <c r="B33" s="20" t="s">
        <v>78</v>
      </c>
      <c r="C33" s="33">
        <v>4000</v>
      </c>
      <c r="D33" s="33"/>
      <c r="E33" s="33"/>
      <c r="F33" s="33"/>
      <c r="G33" s="33"/>
      <c r="H33" s="33"/>
      <c r="I33" s="33"/>
      <c r="J33" s="33">
        <f t="shared" si="2"/>
        <v>4000</v>
      </c>
      <c r="K33" s="49">
        <v>0</v>
      </c>
      <c r="L33" s="49">
        <f t="shared" si="4"/>
        <v>4000</v>
      </c>
      <c r="M33" s="53">
        <f t="shared" si="3"/>
        <v>0</v>
      </c>
      <c r="O33" s="58"/>
    </row>
    <row r="34" spans="1:15">
      <c r="A34" s="19"/>
      <c r="B34" s="20"/>
      <c r="C34" s="33"/>
      <c r="D34" s="33"/>
      <c r="E34" s="33"/>
      <c r="F34" s="33"/>
      <c r="G34" s="33"/>
      <c r="H34" s="33"/>
      <c r="I34" s="33"/>
      <c r="J34" s="33"/>
      <c r="K34" s="81"/>
      <c r="L34" s="49"/>
      <c r="M34" s="53"/>
      <c r="O34" s="58"/>
    </row>
    <row r="35" spans="1:15">
      <c r="A35" s="23">
        <v>1</v>
      </c>
      <c r="B35" s="23" t="s">
        <v>10</v>
      </c>
      <c r="C35" s="33"/>
      <c r="D35" s="33"/>
      <c r="E35" s="33"/>
      <c r="F35" s="33"/>
      <c r="G35" s="33"/>
      <c r="H35" s="33"/>
      <c r="I35" s="33"/>
      <c r="J35" s="33"/>
      <c r="K35" s="83"/>
      <c r="L35" s="49"/>
      <c r="M35" s="53"/>
      <c r="O35" s="58"/>
    </row>
    <row r="36" spans="1:15">
      <c r="A36" s="24">
        <v>111</v>
      </c>
      <c r="B36" s="20" t="s">
        <v>39</v>
      </c>
      <c r="C36" s="33">
        <v>13125</v>
      </c>
      <c r="D36" s="33"/>
      <c r="E36" s="33"/>
      <c r="F36" s="33"/>
      <c r="G36" s="33"/>
      <c r="H36" s="33"/>
      <c r="I36" s="33"/>
      <c r="J36" s="33">
        <f t="shared" si="2"/>
        <v>13125</v>
      </c>
      <c r="K36" s="49">
        <v>6013.9400000000005</v>
      </c>
      <c r="L36" s="49">
        <f t="shared" si="4"/>
        <v>7111.0599999999995</v>
      </c>
      <c r="M36" s="53">
        <f t="shared" ref="M36:M69" si="5">K36/$K$114</f>
        <v>1.7325556460494091E-3</v>
      </c>
      <c r="O36" s="58"/>
    </row>
    <row r="37" spans="1:15">
      <c r="A37" s="24">
        <v>113</v>
      </c>
      <c r="B37" s="20" t="s">
        <v>48</v>
      </c>
      <c r="C37" s="33">
        <v>24780</v>
      </c>
      <c r="D37" s="33"/>
      <c r="E37" s="33"/>
      <c r="F37" s="33"/>
      <c r="G37" s="33"/>
      <c r="H37" s="33"/>
      <c r="I37" s="33"/>
      <c r="J37" s="33">
        <f t="shared" si="2"/>
        <v>24780</v>
      </c>
      <c r="K37" s="49">
        <v>14563</v>
      </c>
      <c r="L37" s="49">
        <f t="shared" si="4"/>
        <v>10217</v>
      </c>
      <c r="M37" s="53">
        <f t="shared" si="5"/>
        <v>4.1954538744013977E-3</v>
      </c>
      <c r="O37" s="58"/>
    </row>
    <row r="38" spans="1:15">
      <c r="A38" s="24">
        <v>114</v>
      </c>
      <c r="B38" s="20" t="s">
        <v>109</v>
      </c>
      <c r="C38" s="33">
        <v>2500</v>
      </c>
      <c r="D38" s="33"/>
      <c r="E38" s="33"/>
      <c r="F38" s="33"/>
      <c r="G38" s="33"/>
      <c r="H38" s="33"/>
      <c r="I38" s="33"/>
      <c r="J38" s="33">
        <f t="shared" si="2"/>
        <v>2500</v>
      </c>
      <c r="K38" s="49">
        <v>596.51</v>
      </c>
      <c r="L38" s="49">
        <f t="shared" si="4"/>
        <v>1903.49</v>
      </c>
      <c r="M38" s="53">
        <f t="shared" si="5"/>
        <v>1.7184853331176115E-4</v>
      </c>
      <c r="O38" s="58"/>
    </row>
    <row r="39" spans="1:15">
      <c r="A39" s="24">
        <v>121</v>
      </c>
      <c r="B39" s="20" t="s">
        <v>155</v>
      </c>
      <c r="C39" s="33">
        <v>12250</v>
      </c>
      <c r="D39" s="33"/>
      <c r="E39" s="33"/>
      <c r="F39" s="33"/>
      <c r="G39" s="33"/>
      <c r="H39" s="33"/>
      <c r="I39" s="33"/>
      <c r="J39" s="33">
        <f t="shared" si="2"/>
        <v>12250</v>
      </c>
      <c r="K39" s="49">
        <v>4101</v>
      </c>
      <c r="L39" s="49">
        <f t="shared" si="4"/>
        <v>8149</v>
      </c>
      <c r="M39" s="53">
        <f t="shared" si="5"/>
        <v>1.1814568659561995E-3</v>
      </c>
      <c r="O39" s="58"/>
    </row>
    <row r="40" spans="1:15">
      <c r="A40" s="24">
        <v>122</v>
      </c>
      <c r="B40" s="20" t="s">
        <v>81</v>
      </c>
      <c r="C40" s="33">
        <v>29000</v>
      </c>
      <c r="D40" s="33"/>
      <c r="E40" s="33"/>
      <c r="F40" s="33"/>
      <c r="G40" s="33"/>
      <c r="H40" s="33"/>
      <c r="I40" s="33"/>
      <c r="J40" s="33">
        <f t="shared" si="2"/>
        <v>29000</v>
      </c>
      <c r="K40" s="49">
        <v>21066</v>
      </c>
      <c r="L40" s="49">
        <f t="shared" si="4"/>
        <v>7934</v>
      </c>
      <c r="M40" s="53">
        <f t="shared" si="5"/>
        <v>6.0689027891327229E-3</v>
      </c>
      <c r="N40" s="63"/>
      <c r="O40" s="58"/>
    </row>
    <row r="41" spans="1:15">
      <c r="A41" s="24">
        <v>131</v>
      </c>
      <c r="B41" s="20" t="s">
        <v>51</v>
      </c>
      <c r="C41" s="33">
        <v>1251963.1500000001</v>
      </c>
      <c r="D41" s="33">
        <v>250000</v>
      </c>
      <c r="E41" s="33"/>
      <c r="F41" s="33"/>
      <c r="G41" s="33">
        <v>60000</v>
      </c>
      <c r="H41" s="33"/>
      <c r="I41" s="33"/>
      <c r="J41" s="33">
        <f t="shared" si="2"/>
        <v>1441963.1500000001</v>
      </c>
      <c r="K41" s="49">
        <v>1309859.0599999998</v>
      </c>
      <c r="L41" s="49">
        <f t="shared" si="4"/>
        <v>132104.09000000032</v>
      </c>
      <c r="M41" s="53">
        <f t="shared" si="5"/>
        <v>0.37735722503582864</v>
      </c>
      <c r="O41" s="58"/>
    </row>
    <row r="42" spans="1:15">
      <c r="A42" s="24">
        <v>133</v>
      </c>
      <c r="B42" s="20" t="s">
        <v>52</v>
      </c>
      <c r="C42" s="33">
        <v>1500</v>
      </c>
      <c r="D42" s="33"/>
      <c r="E42" s="33"/>
      <c r="F42" s="33"/>
      <c r="G42" s="33"/>
      <c r="H42" s="33"/>
      <c r="I42" s="33"/>
      <c r="J42" s="33">
        <f t="shared" si="2"/>
        <v>1500</v>
      </c>
      <c r="K42" s="49">
        <v>0</v>
      </c>
      <c r="L42" s="49">
        <f t="shared" si="4"/>
        <v>1500</v>
      </c>
      <c r="M42" s="53">
        <f t="shared" si="5"/>
        <v>0</v>
      </c>
      <c r="O42" s="58"/>
    </row>
    <row r="43" spans="1:15" hidden="1">
      <c r="A43" s="24">
        <v>134</v>
      </c>
      <c r="B43" s="20" t="s">
        <v>82</v>
      </c>
      <c r="C43" s="33">
        <v>0</v>
      </c>
      <c r="D43" s="33"/>
      <c r="E43" s="33"/>
      <c r="F43" s="33"/>
      <c r="G43" s="33"/>
      <c r="H43" s="33"/>
      <c r="I43" s="33"/>
      <c r="J43" s="33">
        <f t="shared" si="2"/>
        <v>0</v>
      </c>
      <c r="K43" s="49">
        <v>0</v>
      </c>
      <c r="L43" s="49">
        <f t="shared" si="4"/>
        <v>0</v>
      </c>
      <c r="M43" s="53">
        <f t="shared" si="5"/>
        <v>0</v>
      </c>
      <c r="O43" s="58"/>
    </row>
    <row r="44" spans="1:15">
      <c r="A44" s="24">
        <v>135</v>
      </c>
      <c r="B44" s="20" t="s">
        <v>90</v>
      </c>
      <c r="C44" s="33">
        <v>100840.04999999999</v>
      </c>
      <c r="D44" s="33">
        <v>15000</v>
      </c>
      <c r="E44" s="33"/>
      <c r="F44" s="33">
        <v>60000</v>
      </c>
      <c r="G44" s="33"/>
      <c r="H44" s="33"/>
      <c r="I44" s="33"/>
      <c r="J44" s="33">
        <f t="shared" si="2"/>
        <v>175840.05</v>
      </c>
      <c r="K44" s="49">
        <v>162122.08000000002</v>
      </c>
      <c r="L44" s="49">
        <f t="shared" si="4"/>
        <v>13717.969999999972</v>
      </c>
      <c r="M44" s="53">
        <f t="shared" si="5"/>
        <v>4.6705741170226835E-2</v>
      </c>
      <c r="O44" s="58"/>
    </row>
    <row r="45" spans="1:15">
      <c r="A45" s="24">
        <v>141</v>
      </c>
      <c r="B45" s="20" t="s">
        <v>71</v>
      </c>
      <c r="C45" s="33">
        <v>846850</v>
      </c>
      <c r="D45" s="33"/>
      <c r="E45" s="33">
        <v>210000</v>
      </c>
      <c r="F45" s="33">
        <v>65000</v>
      </c>
      <c r="G45" s="33"/>
      <c r="H45" s="33"/>
      <c r="I45" s="33"/>
      <c r="J45" s="33">
        <f t="shared" si="2"/>
        <v>701850</v>
      </c>
      <c r="K45" s="49">
        <v>464529.35</v>
      </c>
      <c r="L45" s="49">
        <f t="shared" si="4"/>
        <v>237320.65000000002</v>
      </c>
      <c r="M45" s="53">
        <f t="shared" si="5"/>
        <v>0.13382623506356264</v>
      </c>
      <c r="O45" s="58"/>
    </row>
    <row r="46" spans="1:15">
      <c r="A46" s="24">
        <v>142</v>
      </c>
      <c r="B46" s="20" t="s">
        <v>22</v>
      </c>
      <c r="C46" s="33">
        <v>16000</v>
      </c>
      <c r="D46" s="33"/>
      <c r="E46" s="33"/>
      <c r="F46" s="33"/>
      <c r="G46" s="33"/>
      <c r="H46" s="33"/>
      <c r="I46" s="33"/>
      <c r="J46" s="33">
        <f t="shared" si="2"/>
        <v>16000</v>
      </c>
      <c r="K46" s="49">
        <v>9000</v>
      </c>
      <c r="L46" s="49">
        <f t="shared" si="4"/>
        <v>7000</v>
      </c>
      <c r="M46" s="53">
        <f t="shared" si="5"/>
        <v>2.5928095083164581E-3</v>
      </c>
      <c r="O46" s="58"/>
    </row>
    <row r="47" spans="1:15">
      <c r="A47" s="24">
        <v>143</v>
      </c>
      <c r="B47" s="20" t="s">
        <v>112</v>
      </c>
      <c r="C47" s="33">
        <v>27000</v>
      </c>
      <c r="D47" s="33"/>
      <c r="E47" s="33"/>
      <c r="F47" s="33">
        <v>18000</v>
      </c>
      <c r="G47" s="33"/>
      <c r="H47" s="33"/>
      <c r="I47" s="33"/>
      <c r="J47" s="33">
        <f t="shared" si="2"/>
        <v>45000</v>
      </c>
      <c r="K47" s="49">
        <v>31093.07</v>
      </c>
      <c r="L47" s="49">
        <f t="shared" si="4"/>
        <v>13906.93</v>
      </c>
      <c r="M47" s="53">
        <f t="shared" si="5"/>
        <v>8.9576008376388017E-3</v>
      </c>
      <c r="O47" s="58"/>
    </row>
    <row r="48" spans="1:15">
      <c r="A48" s="24">
        <v>151</v>
      </c>
      <c r="B48" s="20" t="s">
        <v>118</v>
      </c>
      <c r="C48" s="33">
        <v>70560</v>
      </c>
      <c r="D48" s="33"/>
      <c r="E48" s="33"/>
      <c r="F48" s="33"/>
      <c r="G48" s="33"/>
      <c r="H48" s="33"/>
      <c r="I48" s="33"/>
      <c r="J48" s="33">
        <f t="shared" si="2"/>
        <v>70560</v>
      </c>
      <c r="K48" s="49">
        <v>47040</v>
      </c>
      <c r="L48" s="49">
        <f t="shared" si="4"/>
        <v>23520</v>
      </c>
      <c r="M48" s="53">
        <f t="shared" si="5"/>
        <v>1.3551751030134021E-2</v>
      </c>
      <c r="O48" s="58"/>
    </row>
    <row r="49" spans="1:15" hidden="1">
      <c r="A49" s="24">
        <v>155</v>
      </c>
      <c r="B49" s="20" t="s">
        <v>33</v>
      </c>
      <c r="C49" s="33">
        <v>0</v>
      </c>
      <c r="D49" s="33"/>
      <c r="E49" s="33"/>
      <c r="F49" s="33"/>
      <c r="G49" s="33"/>
      <c r="H49" s="33"/>
      <c r="I49" s="33"/>
      <c r="J49" s="33">
        <f t="shared" si="2"/>
        <v>0</v>
      </c>
      <c r="K49" s="49">
        <v>0</v>
      </c>
      <c r="L49" s="49">
        <f t="shared" si="4"/>
        <v>0</v>
      </c>
      <c r="M49" s="53">
        <f t="shared" si="5"/>
        <v>0</v>
      </c>
      <c r="O49" s="58"/>
    </row>
    <row r="50" spans="1:15">
      <c r="A50" s="24">
        <v>158</v>
      </c>
      <c r="B50" s="20" t="s">
        <v>91</v>
      </c>
      <c r="C50" s="33">
        <v>6550</v>
      </c>
      <c r="D50" s="33"/>
      <c r="E50" s="33"/>
      <c r="F50" s="33"/>
      <c r="G50" s="33"/>
      <c r="H50" s="33"/>
      <c r="I50" s="33"/>
      <c r="J50" s="33">
        <f t="shared" si="2"/>
        <v>6550</v>
      </c>
      <c r="K50" s="49">
        <v>1416</v>
      </c>
      <c r="L50" s="49">
        <f t="shared" si="4"/>
        <v>5134</v>
      </c>
      <c r="M50" s="53">
        <f t="shared" si="5"/>
        <v>4.0793536264178943E-4</v>
      </c>
      <c r="O50" s="58"/>
    </row>
    <row r="51" spans="1:15">
      <c r="A51" s="24">
        <v>162</v>
      </c>
      <c r="B51" s="20" t="s">
        <v>53</v>
      </c>
      <c r="C51" s="33">
        <v>2000</v>
      </c>
      <c r="D51" s="33"/>
      <c r="E51" s="33"/>
      <c r="F51" s="33"/>
      <c r="G51" s="33"/>
      <c r="H51" s="33"/>
      <c r="I51" s="33"/>
      <c r="J51" s="33">
        <f t="shared" si="2"/>
        <v>2000</v>
      </c>
      <c r="K51" s="49">
        <v>350</v>
      </c>
      <c r="L51" s="49">
        <f t="shared" si="4"/>
        <v>1650</v>
      </c>
      <c r="M51" s="53">
        <f t="shared" si="5"/>
        <v>1.0083148087897337E-4</v>
      </c>
      <c r="O51" s="58"/>
    </row>
    <row r="52" spans="1:15">
      <c r="A52" s="24">
        <v>164</v>
      </c>
      <c r="B52" s="20" t="s">
        <v>40</v>
      </c>
      <c r="C52" s="33">
        <v>20000</v>
      </c>
      <c r="D52" s="33"/>
      <c r="E52" s="33"/>
      <c r="F52" s="33"/>
      <c r="G52" s="33"/>
      <c r="H52" s="33"/>
      <c r="I52" s="33"/>
      <c r="J52" s="33">
        <f t="shared" si="2"/>
        <v>20000</v>
      </c>
      <c r="K52" s="49">
        <v>0</v>
      </c>
      <c r="L52" s="49">
        <f t="shared" si="4"/>
        <v>20000</v>
      </c>
      <c r="M52" s="53">
        <f t="shared" si="5"/>
        <v>0</v>
      </c>
      <c r="O52" s="58"/>
    </row>
    <row r="53" spans="1:15">
      <c r="A53" s="24">
        <v>165</v>
      </c>
      <c r="B53" s="20" t="s">
        <v>92</v>
      </c>
      <c r="C53" s="33">
        <v>6900</v>
      </c>
      <c r="D53" s="33"/>
      <c r="E53" s="33"/>
      <c r="F53" s="33"/>
      <c r="G53" s="33"/>
      <c r="H53" s="33"/>
      <c r="I53" s="33"/>
      <c r="J53" s="33">
        <f t="shared" si="2"/>
        <v>6900</v>
      </c>
      <c r="K53" s="49">
        <v>2219.04</v>
      </c>
      <c r="L53" s="49">
        <f t="shared" si="4"/>
        <v>4680.96</v>
      </c>
      <c r="M53" s="53">
        <f t="shared" si="5"/>
        <v>6.3928311237050595E-4</v>
      </c>
      <c r="O53" s="58"/>
    </row>
    <row r="54" spans="1:15">
      <c r="A54" s="24">
        <v>168</v>
      </c>
      <c r="B54" s="20" t="s">
        <v>54</v>
      </c>
      <c r="C54" s="33">
        <v>3000</v>
      </c>
      <c r="D54" s="33"/>
      <c r="E54" s="33"/>
      <c r="F54" s="33"/>
      <c r="G54" s="33"/>
      <c r="H54" s="33"/>
      <c r="I54" s="33"/>
      <c r="J54" s="33">
        <f t="shared" si="2"/>
        <v>3000</v>
      </c>
      <c r="K54" s="49">
        <v>1635</v>
      </c>
      <c r="L54" s="49">
        <f t="shared" si="4"/>
        <v>1365</v>
      </c>
      <c r="M54" s="53">
        <f t="shared" si="5"/>
        <v>4.7102706067748989E-4</v>
      </c>
      <c r="O54" s="58"/>
    </row>
    <row r="55" spans="1:15">
      <c r="A55" s="24">
        <v>174</v>
      </c>
      <c r="B55" s="20" t="s">
        <v>41</v>
      </c>
      <c r="C55" s="33">
        <v>5000</v>
      </c>
      <c r="D55" s="33"/>
      <c r="E55" s="33"/>
      <c r="F55" s="33"/>
      <c r="G55" s="33"/>
      <c r="H55" s="33"/>
      <c r="I55" s="33"/>
      <c r="J55" s="33">
        <f t="shared" si="2"/>
        <v>5000</v>
      </c>
      <c r="K55" s="49">
        <v>2947.37</v>
      </c>
      <c r="L55" s="49">
        <f t="shared" si="4"/>
        <v>2052.63</v>
      </c>
      <c r="M55" s="53">
        <f t="shared" si="5"/>
        <v>8.4910766228074217E-4</v>
      </c>
      <c r="O55" s="58"/>
    </row>
    <row r="56" spans="1:15">
      <c r="A56" s="24">
        <v>181</v>
      </c>
      <c r="B56" s="20" t="s">
        <v>139</v>
      </c>
      <c r="C56" s="33">
        <v>158000</v>
      </c>
      <c r="D56" s="33"/>
      <c r="E56" s="33"/>
      <c r="F56" s="33"/>
      <c r="G56" s="33"/>
      <c r="H56" s="33"/>
      <c r="I56" s="33"/>
      <c r="J56" s="33">
        <f t="shared" si="2"/>
        <v>158000</v>
      </c>
      <c r="K56" s="49">
        <v>0</v>
      </c>
      <c r="L56" s="49">
        <f t="shared" si="4"/>
        <v>158000</v>
      </c>
      <c r="M56" s="53">
        <f t="shared" si="5"/>
        <v>0</v>
      </c>
      <c r="O56" s="58"/>
    </row>
    <row r="57" spans="1:15" hidden="1">
      <c r="A57" s="24">
        <v>182</v>
      </c>
      <c r="B57" s="20" t="s">
        <v>56</v>
      </c>
      <c r="C57" s="33">
        <v>0</v>
      </c>
      <c r="D57" s="33"/>
      <c r="E57" s="33"/>
      <c r="F57" s="33"/>
      <c r="G57" s="33"/>
      <c r="H57" s="33"/>
      <c r="I57" s="33"/>
      <c r="J57" s="33">
        <f t="shared" si="2"/>
        <v>0</v>
      </c>
      <c r="K57" s="49">
        <v>0</v>
      </c>
      <c r="L57" s="49">
        <f t="shared" si="4"/>
        <v>0</v>
      </c>
      <c r="M57" s="53">
        <f t="shared" si="5"/>
        <v>0</v>
      </c>
      <c r="O57" s="58"/>
    </row>
    <row r="58" spans="1:15">
      <c r="A58" s="24">
        <v>183</v>
      </c>
      <c r="B58" s="20" t="s">
        <v>93</v>
      </c>
      <c r="C58" s="33">
        <v>85000</v>
      </c>
      <c r="D58" s="33"/>
      <c r="E58" s="33"/>
      <c r="F58" s="33"/>
      <c r="G58" s="33">
        <v>51000</v>
      </c>
      <c r="H58" s="33"/>
      <c r="I58" s="33"/>
      <c r="J58" s="33">
        <f t="shared" si="2"/>
        <v>34000</v>
      </c>
      <c r="K58" s="49">
        <v>12150</v>
      </c>
      <c r="L58" s="49">
        <f t="shared" si="4"/>
        <v>21850</v>
      </c>
      <c r="M58" s="53">
        <f t="shared" si="5"/>
        <v>3.5002928362272184E-3</v>
      </c>
      <c r="O58" s="58"/>
    </row>
    <row r="59" spans="1:15">
      <c r="A59" s="24">
        <v>184</v>
      </c>
      <c r="B59" s="20" t="s">
        <v>94</v>
      </c>
      <c r="C59" s="33">
        <v>50000</v>
      </c>
      <c r="D59" s="33"/>
      <c r="E59" s="33"/>
      <c r="F59" s="33"/>
      <c r="G59" s="33"/>
      <c r="H59" s="33"/>
      <c r="I59" s="33"/>
      <c r="J59" s="33">
        <f t="shared" si="2"/>
        <v>50000</v>
      </c>
      <c r="K59" s="49">
        <v>32000</v>
      </c>
      <c r="L59" s="49">
        <f t="shared" si="4"/>
        <v>18000</v>
      </c>
      <c r="M59" s="53">
        <f t="shared" si="5"/>
        <v>9.2188782517918511E-3</v>
      </c>
      <c r="O59" s="58"/>
    </row>
    <row r="60" spans="1:15">
      <c r="A60" s="24">
        <v>185</v>
      </c>
      <c r="B60" s="20" t="s">
        <v>95</v>
      </c>
      <c r="C60" s="33">
        <v>15000</v>
      </c>
      <c r="D60" s="33"/>
      <c r="E60" s="33"/>
      <c r="F60" s="33"/>
      <c r="G60" s="33">
        <v>8500</v>
      </c>
      <c r="H60" s="33"/>
      <c r="I60" s="33"/>
      <c r="J60" s="33">
        <f t="shared" si="2"/>
        <v>6500</v>
      </c>
      <c r="K60" s="49">
        <v>3762</v>
      </c>
      <c r="L60" s="49">
        <f t="shared" si="4"/>
        <v>2738</v>
      </c>
      <c r="M60" s="53">
        <f t="shared" si="5"/>
        <v>1.0837943744762795E-3</v>
      </c>
      <c r="O60" s="58"/>
    </row>
    <row r="61" spans="1:15">
      <c r="A61" s="24">
        <v>186</v>
      </c>
      <c r="B61" s="20" t="s">
        <v>42</v>
      </c>
      <c r="C61" s="33">
        <v>2000</v>
      </c>
      <c r="D61" s="33"/>
      <c r="E61" s="33"/>
      <c r="F61" s="33">
        <v>84700</v>
      </c>
      <c r="G61" s="33"/>
      <c r="H61" s="33"/>
      <c r="I61" s="33"/>
      <c r="J61" s="33">
        <f t="shared" si="2"/>
        <v>86700</v>
      </c>
      <c r="K61" s="49">
        <v>1265</v>
      </c>
      <c r="L61" s="49">
        <f t="shared" si="4"/>
        <v>85435</v>
      </c>
      <c r="M61" s="53">
        <f t="shared" si="5"/>
        <v>3.6443378089114661E-4</v>
      </c>
      <c r="O61" s="58"/>
    </row>
    <row r="62" spans="1:15">
      <c r="A62" s="24">
        <v>187</v>
      </c>
      <c r="B62" s="20" t="s">
        <v>96</v>
      </c>
      <c r="C62" s="33">
        <v>20000</v>
      </c>
      <c r="D62" s="33"/>
      <c r="E62" s="33"/>
      <c r="F62" s="33"/>
      <c r="G62" s="33"/>
      <c r="H62" s="33"/>
      <c r="I62" s="33"/>
      <c r="J62" s="33">
        <f t="shared" si="2"/>
        <v>20000</v>
      </c>
      <c r="K62" s="49">
        <v>5500</v>
      </c>
      <c r="L62" s="49">
        <f t="shared" si="4"/>
        <v>14500</v>
      </c>
      <c r="M62" s="53">
        <f t="shared" si="5"/>
        <v>1.5844946995267244E-3</v>
      </c>
      <c r="O62" s="58"/>
    </row>
    <row r="63" spans="1:15">
      <c r="A63" s="24">
        <v>188</v>
      </c>
      <c r="B63" s="20" t="s">
        <v>97</v>
      </c>
      <c r="C63" s="33">
        <v>60000</v>
      </c>
      <c r="D63" s="33"/>
      <c r="E63" s="33"/>
      <c r="F63" s="33"/>
      <c r="G63" s="33"/>
      <c r="H63" s="33"/>
      <c r="I63" s="33"/>
      <c r="J63" s="33">
        <f t="shared" si="2"/>
        <v>60000</v>
      </c>
      <c r="K63" s="49">
        <v>0</v>
      </c>
      <c r="L63" s="49">
        <f t="shared" si="4"/>
        <v>60000</v>
      </c>
      <c r="M63" s="53">
        <f t="shared" si="5"/>
        <v>0</v>
      </c>
      <c r="O63" s="58"/>
    </row>
    <row r="64" spans="1:15">
      <c r="A64" s="24">
        <v>189</v>
      </c>
      <c r="B64" s="20" t="s">
        <v>98</v>
      </c>
      <c r="C64" s="33">
        <v>285000</v>
      </c>
      <c r="D64" s="33"/>
      <c r="E64" s="33">
        <v>50000</v>
      </c>
      <c r="F64" s="33"/>
      <c r="G64" s="33"/>
      <c r="H64" s="33"/>
      <c r="I64" s="33"/>
      <c r="J64" s="33">
        <f t="shared" si="2"/>
        <v>235000</v>
      </c>
      <c r="K64" s="49">
        <v>129520</v>
      </c>
      <c r="L64" s="49">
        <f t="shared" si="4"/>
        <v>105480</v>
      </c>
      <c r="M64" s="53">
        <f t="shared" si="5"/>
        <v>3.7313409724127521E-2</v>
      </c>
      <c r="O64" s="58"/>
    </row>
    <row r="65" spans="1:16">
      <c r="A65" s="24">
        <v>191</v>
      </c>
      <c r="B65" s="20" t="s">
        <v>99</v>
      </c>
      <c r="C65" s="33">
        <v>11250</v>
      </c>
      <c r="D65" s="33"/>
      <c r="E65" s="33"/>
      <c r="F65" s="76"/>
      <c r="G65" s="33"/>
      <c r="H65" s="33"/>
      <c r="I65" s="33"/>
      <c r="J65" s="33">
        <f t="shared" si="2"/>
        <v>11250</v>
      </c>
      <c r="K65" s="49">
        <v>7321.78</v>
      </c>
      <c r="L65" s="49">
        <f t="shared" si="4"/>
        <v>3928.2200000000003</v>
      </c>
      <c r="M65" s="53">
        <f t="shared" si="5"/>
        <v>2.1093312002001419E-3</v>
      </c>
      <c r="O65" s="58"/>
    </row>
    <row r="66" spans="1:16">
      <c r="A66" s="24">
        <v>194</v>
      </c>
      <c r="B66" s="20" t="s">
        <v>148</v>
      </c>
      <c r="C66" s="33">
        <v>5000</v>
      </c>
      <c r="D66" s="33"/>
      <c r="E66" s="33"/>
      <c r="F66" s="33"/>
      <c r="G66" s="33"/>
      <c r="H66" s="33"/>
      <c r="I66" s="33"/>
      <c r="J66" s="33">
        <f t="shared" si="2"/>
        <v>5000</v>
      </c>
      <c r="K66" s="49">
        <v>2148.34</v>
      </c>
      <c r="L66" s="49">
        <f t="shared" si="4"/>
        <v>2851.66</v>
      </c>
      <c r="M66" s="53">
        <f t="shared" si="5"/>
        <v>6.1891515323295339E-4</v>
      </c>
      <c r="O66" s="58"/>
    </row>
    <row r="67" spans="1:16">
      <c r="A67" s="24">
        <v>195</v>
      </c>
      <c r="B67" s="20" t="s">
        <v>34</v>
      </c>
      <c r="C67" s="33">
        <v>10000</v>
      </c>
      <c r="D67" s="33"/>
      <c r="E67" s="33"/>
      <c r="F67" s="33">
        <v>9500</v>
      </c>
      <c r="G67" s="33"/>
      <c r="H67" s="33"/>
      <c r="I67" s="33"/>
      <c r="J67" s="33">
        <f t="shared" si="2"/>
        <v>19500</v>
      </c>
      <c r="K67" s="49">
        <v>15611.23</v>
      </c>
      <c r="L67" s="49">
        <f t="shared" si="4"/>
        <v>3888.7700000000004</v>
      </c>
      <c r="M67" s="53">
        <f t="shared" si="5"/>
        <v>4.4974383978350152E-3</v>
      </c>
      <c r="O67" s="58"/>
    </row>
    <row r="68" spans="1:16">
      <c r="A68" s="24">
        <v>196</v>
      </c>
      <c r="B68" s="20" t="s">
        <v>100</v>
      </c>
      <c r="C68" s="33">
        <v>20000</v>
      </c>
      <c r="D68" s="33"/>
      <c r="E68" s="33"/>
      <c r="F68" s="33"/>
      <c r="G68" s="33">
        <v>20000</v>
      </c>
      <c r="H68" s="33"/>
      <c r="I68" s="33"/>
      <c r="J68" s="33">
        <f t="shared" si="2"/>
        <v>0</v>
      </c>
      <c r="K68" s="49">
        <v>0</v>
      </c>
      <c r="L68" s="49">
        <f t="shared" si="4"/>
        <v>0</v>
      </c>
      <c r="M68" s="53">
        <f t="shared" si="5"/>
        <v>0</v>
      </c>
      <c r="O68" s="58"/>
    </row>
    <row r="69" spans="1:16">
      <c r="A69" s="24">
        <v>199</v>
      </c>
      <c r="B69" s="20" t="s">
        <v>55</v>
      </c>
      <c r="C69" s="33">
        <v>25000</v>
      </c>
      <c r="D69" s="33"/>
      <c r="E69" s="33"/>
      <c r="F69" s="33"/>
      <c r="G69" s="33"/>
      <c r="H69" s="33"/>
      <c r="I69" s="33"/>
      <c r="J69" s="33">
        <f t="shared" si="2"/>
        <v>25000</v>
      </c>
      <c r="K69" s="49">
        <v>18759.939999999999</v>
      </c>
      <c r="L69" s="49">
        <f t="shared" si="4"/>
        <v>6240.0600000000013</v>
      </c>
      <c r="M69" s="53">
        <f t="shared" si="5"/>
        <v>5.4045500897162502E-3</v>
      </c>
      <c r="O69" s="58"/>
    </row>
    <row r="70" spans="1:16">
      <c r="A70" s="24"/>
      <c r="B70" s="20"/>
      <c r="C70" s="33"/>
      <c r="D70" s="33"/>
      <c r="E70" s="33"/>
      <c r="F70" s="33"/>
      <c r="G70" s="33"/>
      <c r="H70" s="33"/>
      <c r="I70" s="33"/>
      <c r="J70" s="33"/>
      <c r="K70" s="81"/>
      <c r="L70" s="49"/>
      <c r="M70" s="53"/>
      <c r="O70" s="58"/>
    </row>
    <row r="71" spans="1:16">
      <c r="A71" s="23">
        <v>2</v>
      </c>
      <c r="B71" s="23" t="s">
        <v>11</v>
      </c>
      <c r="C71" s="33"/>
      <c r="D71" s="33"/>
      <c r="E71" s="33"/>
      <c r="F71" s="33"/>
      <c r="G71" s="33"/>
      <c r="H71" s="33"/>
      <c r="I71" s="33"/>
      <c r="J71" s="33"/>
      <c r="K71" s="83"/>
      <c r="L71" s="49"/>
      <c r="M71" s="53"/>
      <c r="O71" s="58"/>
    </row>
    <row r="72" spans="1:16">
      <c r="A72" s="24">
        <v>211</v>
      </c>
      <c r="B72" s="20" t="s">
        <v>23</v>
      </c>
      <c r="C72" s="33">
        <v>111400</v>
      </c>
      <c r="D72" s="33"/>
      <c r="E72" s="33"/>
      <c r="F72" s="33"/>
      <c r="G72" s="33">
        <v>25000</v>
      </c>
      <c r="H72" s="33"/>
      <c r="I72" s="33"/>
      <c r="J72" s="33">
        <f t="shared" ref="J72:J97" si="6">C72+D72-E72+F72-G72+H72-I72</f>
        <v>86400</v>
      </c>
      <c r="K72" s="49">
        <v>40389.850000000006</v>
      </c>
      <c r="L72" s="49">
        <f t="shared" ref="L72:L97" si="7">J72-K72</f>
        <v>46010.149999999994</v>
      </c>
      <c r="M72" s="53">
        <f t="shared" ref="M72:M97" si="8">K72/$K$114</f>
        <v>1.1635909679941724E-2</v>
      </c>
      <c r="O72" s="58"/>
    </row>
    <row r="73" spans="1:16" hidden="1">
      <c r="A73" s="24">
        <v>219</v>
      </c>
      <c r="B73" s="20" t="s">
        <v>24</v>
      </c>
      <c r="C73" s="33">
        <v>0</v>
      </c>
      <c r="D73" s="33"/>
      <c r="E73" s="33"/>
      <c r="F73" s="33"/>
      <c r="G73" s="33"/>
      <c r="H73" s="33"/>
      <c r="I73" s="33"/>
      <c r="J73" s="33">
        <f t="shared" si="6"/>
        <v>0</v>
      </c>
      <c r="K73" s="49"/>
      <c r="L73" s="49">
        <f t="shared" si="7"/>
        <v>0</v>
      </c>
      <c r="M73" s="53">
        <f t="shared" si="8"/>
        <v>0</v>
      </c>
      <c r="O73" s="58"/>
    </row>
    <row r="74" spans="1:16">
      <c r="A74" s="24">
        <v>232</v>
      </c>
      <c r="B74" s="20" t="s">
        <v>57</v>
      </c>
      <c r="C74" s="33">
        <v>1080</v>
      </c>
      <c r="D74" s="33"/>
      <c r="E74" s="33"/>
      <c r="F74" s="33"/>
      <c r="G74" s="33"/>
      <c r="H74" s="33"/>
      <c r="I74" s="33"/>
      <c r="J74" s="33">
        <f t="shared" si="6"/>
        <v>1080</v>
      </c>
      <c r="K74" s="49">
        <v>440</v>
      </c>
      <c r="L74" s="49">
        <f t="shared" si="7"/>
        <v>640</v>
      </c>
      <c r="M74" s="53">
        <f t="shared" si="8"/>
        <v>1.2675957596213795E-4</v>
      </c>
      <c r="O74" s="58"/>
    </row>
    <row r="75" spans="1:16">
      <c r="A75" s="24">
        <v>233</v>
      </c>
      <c r="B75" s="20" t="s">
        <v>70</v>
      </c>
      <c r="C75" s="33">
        <v>58000</v>
      </c>
      <c r="D75" s="33"/>
      <c r="E75" s="33"/>
      <c r="F75" s="33"/>
      <c r="G75" s="33">
        <v>40000</v>
      </c>
      <c r="H75" s="33"/>
      <c r="I75" s="33"/>
      <c r="J75" s="33">
        <f t="shared" si="6"/>
        <v>18000</v>
      </c>
      <c r="K75" s="49">
        <v>9993</v>
      </c>
      <c r="L75" s="49">
        <f t="shared" si="7"/>
        <v>8007</v>
      </c>
      <c r="M75" s="53">
        <f t="shared" si="8"/>
        <v>2.8788828240673739E-3</v>
      </c>
      <c r="O75" s="58"/>
      <c r="P75" s="87"/>
    </row>
    <row r="76" spans="1:16">
      <c r="A76" s="24">
        <v>241</v>
      </c>
      <c r="B76" s="20" t="s">
        <v>58</v>
      </c>
      <c r="C76" s="33">
        <v>6000</v>
      </c>
      <c r="D76" s="33"/>
      <c r="E76" s="33"/>
      <c r="F76" s="33"/>
      <c r="G76" s="33"/>
      <c r="H76" s="33"/>
      <c r="I76" s="33"/>
      <c r="J76" s="33">
        <f t="shared" si="6"/>
        <v>6000</v>
      </c>
      <c r="K76" s="49">
        <v>1891.4</v>
      </c>
      <c r="L76" s="49">
        <f t="shared" si="7"/>
        <v>4108.6000000000004</v>
      </c>
      <c r="M76" s="53">
        <f t="shared" si="8"/>
        <v>5.4489332266997208E-4</v>
      </c>
      <c r="O76" s="58"/>
      <c r="P76" s="87"/>
    </row>
    <row r="77" spans="1:16">
      <c r="A77" s="24">
        <v>243</v>
      </c>
      <c r="B77" s="20" t="s">
        <v>43</v>
      </c>
      <c r="C77" s="33">
        <v>1100</v>
      </c>
      <c r="D77" s="33"/>
      <c r="E77" s="33"/>
      <c r="F77" s="33"/>
      <c r="G77" s="33"/>
      <c r="H77" s="33"/>
      <c r="I77" s="33"/>
      <c r="J77" s="33">
        <f t="shared" si="6"/>
        <v>1100</v>
      </c>
      <c r="K77" s="49">
        <v>432.54999999999995</v>
      </c>
      <c r="L77" s="49">
        <f t="shared" si="7"/>
        <v>667.45</v>
      </c>
      <c r="M77" s="53">
        <f t="shared" si="8"/>
        <v>1.2461330586914266E-4</v>
      </c>
      <c r="O77" s="58"/>
    </row>
    <row r="78" spans="1:16">
      <c r="A78" s="24">
        <v>244</v>
      </c>
      <c r="B78" s="20" t="s">
        <v>44</v>
      </c>
      <c r="C78" s="33">
        <v>2255</v>
      </c>
      <c r="D78" s="33"/>
      <c r="E78" s="33"/>
      <c r="F78" s="33"/>
      <c r="G78" s="33"/>
      <c r="H78" s="33"/>
      <c r="I78" s="33"/>
      <c r="J78" s="33">
        <f t="shared" si="6"/>
        <v>2255</v>
      </c>
      <c r="K78" s="49">
        <v>982.9</v>
      </c>
      <c r="L78" s="49">
        <f t="shared" si="7"/>
        <v>1272.0999999999999</v>
      </c>
      <c r="M78" s="53">
        <f t="shared" si="8"/>
        <v>2.8316360730269409E-4</v>
      </c>
      <c r="O78" s="58"/>
    </row>
    <row r="79" spans="1:16">
      <c r="A79" s="24">
        <v>245</v>
      </c>
      <c r="B79" s="20" t="s">
        <v>45</v>
      </c>
      <c r="C79" s="33">
        <v>1300</v>
      </c>
      <c r="D79" s="33"/>
      <c r="E79" s="33"/>
      <c r="F79" s="33"/>
      <c r="G79" s="33"/>
      <c r="H79" s="33"/>
      <c r="I79" s="33"/>
      <c r="J79" s="33">
        <f t="shared" si="6"/>
        <v>1300</v>
      </c>
      <c r="K79" s="49">
        <v>0</v>
      </c>
      <c r="L79" s="49">
        <f t="shared" si="7"/>
        <v>1300</v>
      </c>
      <c r="M79" s="53">
        <f t="shared" si="8"/>
        <v>0</v>
      </c>
      <c r="O79" s="58"/>
    </row>
    <row r="80" spans="1:16">
      <c r="A80" s="24">
        <v>253</v>
      </c>
      <c r="B80" s="20" t="s">
        <v>37</v>
      </c>
      <c r="C80" s="33">
        <v>7500</v>
      </c>
      <c r="D80" s="33"/>
      <c r="E80" s="33"/>
      <c r="F80" s="33"/>
      <c r="G80" s="33"/>
      <c r="H80" s="33"/>
      <c r="I80" s="33"/>
      <c r="J80" s="33">
        <f t="shared" si="6"/>
        <v>7500</v>
      </c>
      <c r="K80" s="49">
        <v>0</v>
      </c>
      <c r="L80" s="49">
        <f t="shared" si="7"/>
        <v>7500</v>
      </c>
      <c r="M80" s="53">
        <f t="shared" si="8"/>
        <v>0</v>
      </c>
      <c r="O80" s="58"/>
    </row>
    <row r="81" spans="1:15">
      <c r="A81" s="24">
        <v>254</v>
      </c>
      <c r="B81" s="20" t="s">
        <v>46</v>
      </c>
      <c r="C81" s="33">
        <v>750</v>
      </c>
      <c r="D81" s="33"/>
      <c r="E81" s="33"/>
      <c r="F81" s="33"/>
      <c r="G81" s="33"/>
      <c r="H81" s="33"/>
      <c r="I81" s="33"/>
      <c r="J81" s="33">
        <f t="shared" si="6"/>
        <v>750</v>
      </c>
      <c r="K81" s="49">
        <v>270</v>
      </c>
      <c r="L81" s="49">
        <f t="shared" si="7"/>
        <v>480</v>
      </c>
      <c r="M81" s="53">
        <f t="shared" si="8"/>
        <v>7.7784285249493743E-5</v>
      </c>
      <c r="O81" s="58"/>
    </row>
    <row r="82" spans="1:15">
      <c r="A82" s="24">
        <v>262</v>
      </c>
      <c r="B82" s="20" t="s">
        <v>59</v>
      </c>
      <c r="C82" s="33">
        <v>9770</v>
      </c>
      <c r="D82" s="33"/>
      <c r="E82" s="33"/>
      <c r="F82" s="33"/>
      <c r="G82" s="33"/>
      <c r="H82" s="33"/>
      <c r="I82" s="33"/>
      <c r="J82" s="33">
        <f t="shared" si="6"/>
        <v>9770</v>
      </c>
      <c r="K82" s="49">
        <v>6462.96</v>
      </c>
      <c r="L82" s="49">
        <f t="shared" si="7"/>
        <v>3307.04</v>
      </c>
      <c r="M82" s="53">
        <f t="shared" si="8"/>
        <v>1.8619137933187707E-3</v>
      </c>
      <c r="O82" s="58"/>
    </row>
    <row r="83" spans="1:15">
      <c r="A83" s="24">
        <v>266</v>
      </c>
      <c r="B83" s="20" t="s">
        <v>60</v>
      </c>
      <c r="C83" s="33">
        <v>600</v>
      </c>
      <c r="D83" s="33">
        <v>1250</v>
      </c>
      <c r="E83" s="33"/>
      <c r="F83" s="33"/>
      <c r="G83" s="33"/>
      <c r="H83" s="33"/>
      <c r="I83" s="33"/>
      <c r="J83" s="33">
        <f t="shared" si="6"/>
        <v>1850</v>
      </c>
      <c r="K83" s="49">
        <v>1389.7599999999998</v>
      </c>
      <c r="L83" s="49">
        <f t="shared" si="7"/>
        <v>460.24000000000024</v>
      </c>
      <c r="M83" s="53">
        <f t="shared" si="8"/>
        <v>4.0037588247532005E-4</v>
      </c>
      <c r="O83" s="58"/>
    </row>
    <row r="84" spans="1:15">
      <c r="A84" s="24">
        <v>267</v>
      </c>
      <c r="B84" s="20" t="s">
        <v>86</v>
      </c>
      <c r="C84" s="33">
        <v>22000</v>
      </c>
      <c r="D84" s="33"/>
      <c r="E84" s="33"/>
      <c r="F84" s="33"/>
      <c r="G84" s="33"/>
      <c r="H84" s="33"/>
      <c r="I84" s="33"/>
      <c r="J84" s="33">
        <f t="shared" si="6"/>
        <v>22000</v>
      </c>
      <c r="K84" s="49">
        <v>11101.25</v>
      </c>
      <c r="L84" s="49">
        <f t="shared" si="7"/>
        <v>10898.75</v>
      </c>
      <c r="M84" s="53">
        <f t="shared" si="8"/>
        <v>3.198158506022009E-3</v>
      </c>
      <c r="O84" s="58"/>
    </row>
    <row r="85" spans="1:15">
      <c r="A85" s="24">
        <v>268</v>
      </c>
      <c r="B85" s="20" t="s">
        <v>61</v>
      </c>
      <c r="C85" s="33">
        <v>794</v>
      </c>
      <c r="D85" s="33">
        <v>1000</v>
      </c>
      <c r="E85" s="33"/>
      <c r="F85" s="33"/>
      <c r="G85" s="33"/>
      <c r="H85" s="33"/>
      <c r="I85" s="33"/>
      <c r="J85" s="33">
        <f t="shared" si="6"/>
        <v>1794</v>
      </c>
      <c r="K85" s="49">
        <v>741.95000000000016</v>
      </c>
      <c r="L85" s="49">
        <f t="shared" si="7"/>
        <v>1052.0499999999997</v>
      </c>
      <c r="M85" s="53">
        <f t="shared" si="8"/>
        <v>2.1374833496615517E-4</v>
      </c>
      <c r="O85" s="58"/>
    </row>
    <row r="86" spans="1:15">
      <c r="A86" s="24">
        <v>269</v>
      </c>
      <c r="B86" s="20" t="s">
        <v>62</v>
      </c>
      <c r="C86" s="33">
        <v>500</v>
      </c>
      <c r="D86" s="33">
        <v>750</v>
      </c>
      <c r="E86" s="33"/>
      <c r="F86" s="33"/>
      <c r="G86" s="33"/>
      <c r="H86" s="33"/>
      <c r="I86" s="33"/>
      <c r="J86" s="33">
        <f t="shared" si="6"/>
        <v>1250</v>
      </c>
      <c r="K86" s="49">
        <v>450</v>
      </c>
      <c r="L86" s="49">
        <f t="shared" si="7"/>
        <v>800</v>
      </c>
      <c r="M86" s="53">
        <f t="shared" si="8"/>
        <v>1.2964047541582291E-4</v>
      </c>
      <c r="O86" s="58"/>
    </row>
    <row r="87" spans="1:15">
      <c r="A87" s="24">
        <v>271</v>
      </c>
      <c r="B87" s="20" t="s">
        <v>63</v>
      </c>
      <c r="C87" s="33">
        <v>160800</v>
      </c>
      <c r="D87" s="33"/>
      <c r="E87" s="33"/>
      <c r="F87" s="33"/>
      <c r="G87" s="33">
        <v>7700</v>
      </c>
      <c r="H87" s="33"/>
      <c r="I87" s="33"/>
      <c r="J87" s="33">
        <f t="shared" si="6"/>
        <v>153100</v>
      </c>
      <c r="K87" s="49">
        <v>152689.19</v>
      </c>
      <c r="L87" s="49">
        <f t="shared" si="7"/>
        <v>410.80999999999767</v>
      </c>
      <c r="M87" s="53">
        <f t="shared" si="8"/>
        <v>4.3988220405459806E-2</v>
      </c>
      <c r="O87" s="58"/>
    </row>
    <row r="88" spans="1:15">
      <c r="A88" s="24">
        <v>283</v>
      </c>
      <c r="B88" s="20" t="s">
        <v>64</v>
      </c>
      <c r="C88" s="33">
        <v>1000</v>
      </c>
      <c r="D88" s="33"/>
      <c r="E88" s="33"/>
      <c r="F88" s="33"/>
      <c r="G88" s="33"/>
      <c r="H88" s="33"/>
      <c r="I88" s="33"/>
      <c r="J88" s="33">
        <f t="shared" si="6"/>
        <v>1000</v>
      </c>
      <c r="K88" s="49">
        <v>9</v>
      </c>
      <c r="L88" s="49">
        <f t="shared" si="7"/>
        <v>991</v>
      </c>
      <c r="M88" s="53">
        <f t="shared" si="8"/>
        <v>2.592809508316458E-6</v>
      </c>
      <c r="O88" s="58"/>
    </row>
    <row r="89" spans="1:15">
      <c r="A89" s="24">
        <v>284</v>
      </c>
      <c r="B89" s="20" t="s">
        <v>47</v>
      </c>
      <c r="C89" s="33">
        <v>7500</v>
      </c>
      <c r="D89" s="33"/>
      <c r="E89" s="33"/>
      <c r="F89" s="33"/>
      <c r="G89" s="33"/>
      <c r="H89" s="33"/>
      <c r="I89" s="33"/>
      <c r="J89" s="33">
        <f t="shared" si="6"/>
        <v>7500</v>
      </c>
      <c r="K89" s="49">
        <v>0</v>
      </c>
      <c r="L89" s="49">
        <f t="shared" si="7"/>
        <v>7500</v>
      </c>
      <c r="M89" s="53">
        <f t="shared" si="8"/>
        <v>0</v>
      </c>
      <c r="O89" s="58"/>
    </row>
    <row r="90" spans="1:15">
      <c r="A90" s="24">
        <v>285</v>
      </c>
      <c r="B90" s="20" t="s">
        <v>113</v>
      </c>
      <c r="C90" s="33">
        <v>807000</v>
      </c>
      <c r="D90" s="33"/>
      <c r="E90" s="33"/>
      <c r="F90" s="33">
        <v>50000</v>
      </c>
      <c r="G90" s="33"/>
      <c r="H90" s="33"/>
      <c r="I90" s="33"/>
      <c r="J90" s="33">
        <f t="shared" si="6"/>
        <v>857000</v>
      </c>
      <c r="K90" s="49">
        <v>0</v>
      </c>
      <c r="L90" s="49">
        <f t="shared" si="7"/>
        <v>857000</v>
      </c>
      <c r="M90" s="53">
        <f t="shared" si="8"/>
        <v>0</v>
      </c>
      <c r="O90" s="58"/>
    </row>
    <row r="91" spans="1:15">
      <c r="A91" s="24">
        <v>291</v>
      </c>
      <c r="B91" s="20" t="s">
        <v>65</v>
      </c>
      <c r="C91" s="33">
        <v>9000</v>
      </c>
      <c r="D91" s="33"/>
      <c r="E91" s="33"/>
      <c r="F91" s="33"/>
      <c r="G91" s="33"/>
      <c r="H91" s="33"/>
      <c r="I91" s="33"/>
      <c r="J91" s="33">
        <f t="shared" si="6"/>
        <v>9000</v>
      </c>
      <c r="K91" s="49">
        <v>2477.54</v>
      </c>
      <c r="L91" s="49">
        <f t="shared" si="7"/>
        <v>6522.46</v>
      </c>
      <c r="M91" s="53">
        <f t="shared" si="8"/>
        <v>7.1375436324826202E-4</v>
      </c>
      <c r="O91" s="58"/>
    </row>
    <row r="92" spans="1:15">
      <c r="A92" s="24">
        <v>292</v>
      </c>
      <c r="B92" s="20" t="s">
        <v>66</v>
      </c>
      <c r="C92" s="33">
        <v>1800</v>
      </c>
      <c r="D92" s="33"/>
      <c r="E92" s="33"/>
      <c r="F92" s="33"/>
      <c r="G92" s="33"/>
      <c r="H92" s="33"/>
      <c r="I92" s="33"/>
      <c r="J92" s="33">
        <f t="shared" si="6"/>
        <v>1800</v>
      </c>
      <c r="K92" s="49">
        <v>966.1</v>
      </c>
      <c r="L92" s="49">
        <f t="shared" si="7"/>
        <v>833.9</v>
      </c>
      <c r="M92" s="53">
        <f t="shared" si="8"/>
        <v>2.7832369622050337E-4</v>
      </c>
      <c r="O92" s="58"/>
    </row>
    <row r="93" spans="1:15">
      <c r="A93" s="24">
        <v>294</v>
      </c>
      <c r="B93" s="20" t="s">
        <v>67</v>
      </c>
      <c r="C93" s="33">
        <v>140250</v>
      </c>
      <c r="D93" s="43"/>
      <c r="E93" s="43"/>
      <c r="F93" s="33"/>
      <c r="G93" s="33"/>
      <c r="H93" s="33"/>
      <c r="I93" s="33"/>
      <c r="J93" s="33">
        <f t="shared" si="6"/>
        <v>140250</v>
      </c>
      <c r="K93" s="49">
        <v>83534.64</v>
      </c>
      <c r="L93" s="49">
        <f t="shared" si="7"/>
        <v>56715.360000000001</v>
      </c>
      <c r="M93" s="53">
        <f t="shared" si="8"/>
        <v>2.4065489873976928E-2</v>
      </c>
      <c r="O93" s="58"/>
    </row>
    <row r="94" spans="1:15">
      <c r="A94" s="24">
        <v>296</v>
      </c>
      <c r="B94" s="20" t="s">
        <v>180</v>
      </c>
      <c r="C94" s="33">
        <v>500</v>
      </c>
      <c r="D94" s="33"/>
      <c r="E94" s="33"/>
      <c r="F94" s="33"/>
      <c r="G94" s="33"/>
      <c r="H94" s="33"/>
      <c r="I94" s="33"/>
      <c r="J94" s="33">
        <f t="shared" si="6"/>
        <v>500</v>
      </c>
      <c r="K94" s="49">
        <v>0</v>
      </c>
      <c r="L94" s="49">
        <f t="shared" si="7"/>
        <v>500</v>
      </c>
      <c r="M94" s="53">
        <f t="shared" si="8"/>
        <v>0</v>
      </c>
      <c r="O94" s="58"/>
    </row>
    <row r="95" spans="1:15">
      <c r="A95" s="24">
        <v>297</v>
      </c>
      <c r="B95" s="20" t="s">
        <v>68</v>
      </c>
      <c r="C95" s="33">
        <v>1000</v>
      </c>
      <c r="D95" s="33"/>
      <c r="E95" s="33"/>
      <c r="F95" s="33"/>
      <c r="G95" s="33"/>
      <c r="H95" s="33"/>
      <c r="I95" s="33"/>
      <c r="J95" s="33">
        <f t="shared" si="6"/>
        <v>1000</v>
      </c>
      <c r="K95" s="49">
        <v>530.17999999999995</v>
      </c>
      <c r="L95" s="49">
        <f t="shared" si="7"/>
        <v>469.82000000000005</v>
      </c>
      <c r="M95" s="53">
        <f t="shared" si="8"/>
        <v>1.5273952723546884E-4</v>
      </c>
      <c r="O95" s="58"/>
    </row>
    <row r="96" spans="1:15">
      <c r="A96" s="24">
        <v>298</v>
      </c>
      <c r="B96" s="20" t="s">
        <v>25</v>
      </c>
      <c r="C96" s="33">
        <v>85460</v>
      </c>
      <c r="D96" s="43"/>
      <c r="E96" s="43">
        <v>20000</v>
      </c>
      <c r="F96" s="33"/>
      <c r="G96" s="33">
        <v>25000</v>
      </c>
      <c r="H96" s="33"/>
      <c r="I96" s="33"/>
      <c r="J96" s="33">
        <f t="shared" si="6"/>
        <v>40460</v>
      </c>
      <c r="K96" s="49">
        <v>10517.43</v>
      </c>
      <c r="L96" s="49">
        <f t="shared" si="7"/>
        <v>29942.57</v>
      </c>
      <c r="M96" s="53">
        <f t="shared" si="8"/>
        <v>3.0299658341169742E-3</v>
      </c>
      <c r="O96" s="58"/>
    </row>
    <row r="97" spans="1:15">
      <c r="A97" s="24">
        <v>299</v>
      </c>
      <c r="B97" s="20" t="s">
        <v>69</v>
      </c>
      <c r="C97" s="33">
        <v>12000</v>
      </c>
      <c r="D97" s="43"/>
      <c r="E97" s="43"/>
      <c r="F97" s="33"/>
      <c r="G97" s="33"/>
      <c r="H97" s="33"/>
      <c r="I97" s="33"/>
      <c r="J97" s="33">
        <f t="shared" si="6"/>
        <v>12000</v>
      </c>
      <c r="K97" s="49">
        <v>2346.4</v>
      </c>
      <c r="L97" s="49">
        <f t="shared" si="7"/>
        <v>9653.6</v>
      </c>
      <c r="M97" s="53">
        <f t="shared" si="8"/>
        <v>6.7597424781263757E-4</v>
      </c>
      <c r="O97" s="58"/>
    </row>
    <row r="98" spans="1:15">
      <c r="A98" s="24"/>
      <c r="B98" s="20"/>
      <c r="C98" s="33"/>
      <c r="D98" s="43"/>
      <c r="E98" s="43"/>
      <c r="F98" s="33"/>
      <c r="G98" s="33"/>
      <c r="H98" s="33"/>
      <c r="I98" s="33"/>
      <c r="J98" s="33"/>
      <c r="K98" s="81"/>
      <c r="L98" s="49"/>
      <c r="M98" s="53"/>
      <c r="O98" s="58"/>
    </row>
    <row r="99" spans="1:15">
      <c r="A99" s="23">
        <v>3</v>
      </c>
      <c r="B99" s="23" t="s">
        <v>129</v>
      </c>
      <c r="C99" s="33"/>
      <c r="D99" s="33"/>
      <c r="E99" s="33"/>
      <c r="F99" s="33"/>
      <c r="G99" s="33"/>
      <c r="H99" s="33"/>
      <c r="I99" s="33"/>
      <c r="J99" s="33"/>
      <c r="K99" s="83"/>
      <c r="L99" s="49"/>
      <c r="M99" s="53"/>
      <c r="O99" s="58"/>
    </row>
    <row r="100" spans="1:15">
      <c r="A100" s="24">
        <v>322</v>
      </c>
      <c r="B100" s="20" t="s">
        <v>83</v>
      </c>
      <c r="C100" s="33">
        <v>18000</v>
      </c>
      <c r="D100" s="33"/>
      <c r="E100" s="33"/>
      <c r="F100" s="33"/>
      <c r="G100" s="33"/>
      <c r="H100" s="33"/>
      <c r="I100" s="33"/>
      <c r="J100" s="33">
        <f t="shared" ref="J100:J105" si="9">C100+D100-E100+F100-G100+H100-I100</f>
        <v>18000</v>
      </c>
      <c r="K100" s="49">
        <v>0</v>
      </c>
      <c r="L100" s="49">
        <f t="shared" ref="L100:L105" si="10">J100-K100</f>
        <v>18000</v>
      </c>
      <c r="M100" s="53">
        <f t="shared" ref="M100:M105" si="11">K100/$K$114</f>
        <v>0</v>
      </c>
      <c r="O100" s="58"/>
    </row>
    <row r="101" spans="1:15" hidden="1">
      <c r="A101" s="24">
        <v>323</v>
      </c>
      <c r="B101" s="20" t="s">
        <v>119</v>
      </c>
      <c r="C101" s="33">
        <v>0</v>
      </c>
      <c r="D101" s="33"/>
      <c r="E101" s="33"/>
      <c r="F101" s="33"/>
      <c r="G101" s="33"/>
      <c r="H101" s="33"/>
      <c r="I101" s="33"/>
      <c r="J101" s="33">
        <f t="shared" si="9"/>
        <v>0</v>
      </c>
      <c r="K101" s="49"/>
      <c r="L101" s="49">
        <f t="shared" si="10"/>
        <v>0</v>
      </c>
      <c r="M101" s="53">
        <f t="shared" si="11"/>
        <v>0</v>
      </c>
    </row>
    <row r="102" spans="1:15">
      <c r="A102" s="24">
        <v>324</v>
      </c>
      <c r="B102" s="20" t="s">
        <v>120</v>
      </c>
      <c r="C102" s="33">
        <v>2147922.54</v>
      </c>
      <c r="D102" s="33"/>
      <c r="E102" s="33"/>
      <c r="F102" s="33"/>
      <c r="G102" s="33"/>
      <c r="H102" s="33"/>
      <c r="I102" s="33"/>
      <c r="J102" s="33">
        <f t="shared" si="9"/>
        <v>2147922.54</v>
      </c>
      <c r="K102" s="49">
        <v>89975</v>
      </c>
      <c r="L102" s="49">
        <f t="shared" si="10"/>
        <v>2057947.54</v>
      </c>
      <c r="M102" s="53">
        <f t="shared" si="11"/>
        <v>2.5920892834530369E-2</v>
      </c>
    </row>
    <row r="103" spans="1:15">
      <c r="A103" s="24">
        <v>328</v>
      </c>
      <c r="B103" s="20" t="s">
        <v>84</v>
      </c>
      <c r="C103" s="33">
        <v>7500</v>
      </c>
      <c r="D103" s="33"/>
      <c r="E103" s="33"/>
      <c r="F103" s="33"/>
      <c r="G103" s="33"/>
      <c r="H103" s="33"/>
      <c r="I103" s="33"/>
      <c r="J103" s="33">
        <f t="shared" si="9"/>
        <v>7500</v>
      </c>
      <c r="K103" s="49">
        <v>0</v>
      </c>
      <c r="L103" s="49">
        <f t="shared" si="10"/>
        <v>7500</v>
      </c>
      <c r="M103" s="53">
        <f t="shared" si="11"/>
        <v>0</v>
      </c>
    </row>
    <row r="104" spans="1:15">
      <c r="A104" s="24">
        <v>329</v>
      </c>
      <c r="B104" s="20" t="s">
        <v>85</v>
      </c>
      <c r="C104" s="33">
        <v>10500</v>
      </c>
      <c r="D104" s="33"/>
      <c r="E104" s="33"/>
      <c r="F104" s="33"/>
      <c r="G104" s="33"/>
      <c r="H104" s="33"/>
      <c r="I104" s="33"/>
      <c r="J104" s="33">
        <f t="shared" si="9"/>
        <v>10500</v>
      </c>
      <c r="K104" s="49">
        <v>3496</v>
      </c>
      <c r="L104" s="49">
        <f t="shared" si="10"/>
        <v>7004</v>
      </c>
      <c r="M104" s="53">
        <f t="shared" si="11"/>
        <v>1.0071624490082599E-3</v>
      </c>
    </row>
    <row r="105" spans="1:15">
      <c r="A105" s="24">
        <v>332</v>
      </c>
      <c r="B105" s="20" t="s">
        <v>140</v>
      </c>
      <c r="C105" s="33">
        <v>2388358.86</v>
      </c>
      <c r="D105" s="33"/>
      <c r="E105" s="33"/>
      <c r="F105" s="33"/>
      <c r="G105" s="33"/>
      <c r="H105" s="33"/>
      <c r="I105" s="33"/>
      <c r="J105" s="33">
        <f t="shared" si="9"/>
        <v>2388358.86</v>
      </c>
      <c r="K105" s="49">
        <v>0</v>
      </c>
      <c r="L105" s="49">
        <f t="shared" si="10"/>
        <v>2388358.86</v>
      </c>
      <c r="M105" s="53">
        <f t="shared" si="11"/>
        <v>0</v>
      </c>
    </row>
    <row r="106" spans="1:15">
      <c r="A106" s="24"/>
      <c r="B106" s="20"/>
      <c r="C106" s="33"/>
      <c r="D106" s="33"/>
      <c r="E106" s="33"/>
      <c r="F106" s="33"/>
      <c r="G106" s="33"/>
      <c r="H106" s="33"/>
      <c r="I106" s="33"/>
      <c r="J106" s="33"/>
      <c r="K106" s="81"/>
      <c r="L106" s="49"/>
      <c r="M106" s="53"/>
      <c r="O106" s="12"/>
    </row>
    <row r="107" spans="1:15">
      <c r="A107" s="23">
        <v>4</v>
      </c>
      <c r="B107" s="23" t="s">
        <v>12</v>
      </c>
      <c r="C107" s="33"/>
      <c r="D107" s="33"/>
      <c r="E107" s="33"/>
      <c r="F107" s="33"/>
      <c r="G107" s="33"/>
      <c r="H107" s="33"/>
      <c r="I107" s="33"/>
      <c r="J107" s="33"/>
      <c r="K107" s="81"/>
      <c r="L107" s="49"/>
      <c r="M107" s="53"/>
      <c r="O107" s="12"/>
    </row>
    <row r="108" spans="1:15">
      <c r="A108" s="25">
        <v>413</v>
      </c>
      <c r="B108" s="26" t="s">
        <v>72</v>
      </c>
      <c r="C108" s="33">
        <v>20750</v>
      </c>
      <c r="D108" s="33"/>
      <c r="E108" s="33"/>
      <c r="F108" s="33"/>
      <c r="G108" s="33"/>
      <c r="H108" s="33"/>
      <c r="I108" s="33"/>
      <c r="J108" s="33">
        <f t="shared" ref="J108:J112" si="12">C108+D108-E108+F108-G108+H108-I108</f>
        <v>20750</v>
      </c>
      <c r="K108" s="49">
        <v>0</v>
      </c>
      <c r="L108" s="49">
        <f t="shared" ref="L108:L112" si="13">J108-K108</f>
        <v>20750</v>
      </c>
      <c r="M108" s="53">
        <f>K108/$K$114</f>
        <v>0</v>
      </c>
      <c r="O108" s="12"/>
    </row>
    <row r="109" spans="1:15">
      <c r="A109" s="25">
        <v>415</v>
      </c>
      <c r="B109" s="26" t="s">
        <v>73</v>
      </c>
      <c r="C109" s="33">
        <v>7600</v>
      </c>
      <c r="D109" s="33"/>
      <c r="E109" s="33"/>
      <c r="F109" s="33"/>
      <c r="G109" s="33"/>
      <c r="H109" s="33"/>
      <c r="I109" s="33"/>
      <c r="J109" s="33">
        <f t="shared" si="12"/>
        <v>7600</v>
      </c>
      <c r="K109" s="49">
        <v>0</v>
      </c>
      <c r="L109" s="49">
        <f t="shared" si="13"/>
        <v>7600</v>
      </c>
      <c r="M109" s="53">
        <f>K109/$K$114</f>
        <v>0</v>
      </c>
      <c r="O109" s="12"/>
    </row>
    <row r="110" spans="1:15">
      <c r="A110" s="25">
        <v>419</v>
      </c>
      <c r="B110" s="26" t="s">
        <v>74</v>
      </c>
      <c r="C110" s="33">
        <v>19200</v>
      </c>
      <c r="D110" s="33"/>
      <c r="E110" s="33"/>
      <c r="F110" s="33"/>
      <c r="G110" s="33"/>
      <c r="H110" s="33"/>
      <c r="I110" s="33"/>
      <c r="J110" s="33">
        <f t="shared" si="12"/>
        <v>19200</v>
      </c>
      <c r="K110" s="49">
        <v>9000</v>
      </c>
      <c r="L110" s="49">
        <f t="shared" si="13"/>
        <v>10200</v>
      </c>
      <c r="M110" s="53">
        <f>K110/$K$114</f>
        <v>2.5928095083164581E-3</v>
      </c>
      <c r="O110" s="12"/>
    </row>
    <row r="111" spans="1:15">
      <c r="A111" s="25">
        <v>453</v>
      </c>
      <c r="B111" s="26" t="s">
        <v>75</v>
      </c>
      <c r="C111" s="33">
        <v>255000</v>
      </c>
      <c r="D111" s="33"/>
      <c r="E111" s="33"/>
      <c r="F111" s="33"/>
      <c r="G111" s="33">
        <v>50000</v>
      </c>
      <c r="H111" s="33"/>
      <c r="I111" s="33"/>
      <c r="J111" s="33">
        <f t="shared" si="12"/>
        <v>205000</v>
      </c>
      <c r="K111" s="49">
        <v>109195.56</v>
      </c>
      <c r="L111" s="49">
        <f t="shared" si="13"/>
        <v>95804.44</v>
      </c>
      <c r="M111" s="53">
        <f>K111/$K$114</f>
        <v>3.1458142914882255E-2</v>
      </c>
      <c r="O111" s="12"/>
    </row>
    <row r="112" spans="1:15">
      <c r="A112" s="25">
        <v>472</v>
      </c>
      <c r="B112" s="26" t="s">
        <v>105</v>
      </c>
      <c r="C112" s="33">
        <v>8200</v>
      </c>
      <c r="D112" s="33">
        <v>12000</v>
      </c>
      <c r="E112" s="33"/>
      <c r="F112" s="33"/>
      <c r="G112" s="33"/>
      <c r="H112" s="33"/>
      <c r="I112" s="33"/>
      <c r="J112" s="33">
        <f t="shared" si="12"/>
        <v>20200</v>
      </c>
      <c r="K112" s="49">
        <v>4628.7699999999995</v>
      </c>
      <c r="L112" s="49">
        <f t="shared" si="13"/>
        <v>15571.23</v>
      </c>
      <c r="M112" s="53">
        <f>K112/$K$114</f>
        <v>1.3335020964233301E-3</v>
      </c>
      <c r="O112" s="12"/>
    </row>
    <row r="113" spans="1:15" ht="20.25" customHeight="1" thickBot="1">
      <c r="A113" s="22"/>
      <c r="B113" s="64"/>
      <c r="C113" s="18"/>
      <c r="D113" s="33"/>
      <c r="E113" s="33"/>
      <c r="F113" s="44"/>
      <c r="G113" s="44"/>
      <c r="H113" s="44"/>
      <c r="I113" s="44"/>
      <c r="J113" s="18"/>
      <c r="K113" s="84"/>
      <c r="L113" s="50"/>
      <c r="M113" s="53"/>
      <c r="O113" s="12"/>
    </row>
    <row r="114" spans="1:15" ht="20.25" customHeight="1" thickBot="1">
      <c r="A114" s="65"/>
      <c r="B114" s="8" t="s">
        <v>7</v>
      </c>
      <c r="C114" s="94">
        <f>SUM(C21:C113)</f>
        <v>10577202.25</v>
      </c>
      <c r="D114" s="94">
        <f>SUM(D21:D113)</f>
        <v>280000</v>
      </c>
      <c r="E114" s="94">
        <f>SUM(E21:E113)</f>
        <v>280000</v>
      </c>
      <c r="F114" s="94">
        <f t="shared" ref="F114:I114" si="14">SUM(F21:F113)</f>
        <v>287200</v>
      </c>
      <c r="G114" s="94">
        <f t="shared" si="14"/>
        <v>287200</v>
      </c>
      <c r="H114" s="94">
        <f t="shared" si="14"/>
        <v>0</v>
      </c>
      <c r="I114" s="94">
        <f t="shared" si="14"/>
        <v>0</v>
      </c>
      <c r="J114" s="97">
        <f>ROUND((SUM(J21:J113)),2)</f>
        <v>10577202.25</v>
      </c>
      <c r="K114" s="97">
        <f>ROUND((SUM(K21:K113)),2)</f>
        <v>3471138.15</v>
      </c>
      <c r="L114" s="97">
        <f>ROUND((SUM(L21:L113)),2)</f>
        <v>7106064.0999999996</v>
      </c>
      <c r="M114" s="98">
        <f>K114/K114</f>
        <v>1</v>
      </c>
      <c r="O114" s="12"/>
    </row>
    <row r="115" spans="1:15" ht="20.25" customHeight="1">
      <c r="A115" s="66"/>
      <c r="B115" s="13"/>
      <c r="C115" s="14"/>
      <c r="D115" s="14"/>
      <c r="E115" s="14"/>
      <c r="F115" s="14"/>
      <c r="G115" s="27"/>
      <c r="H115" s="27"/>
      <c r="I115" s="14"/>
      <c r="J115" s="14"/>
      <c r="K115" s="85"/>
      <c r="L115" s="14"/>
      <c r="M115" s="15"/>
      <c r="O115" s="12"/>
    </row>
    <row r="116" spans="1:15" ht="20.25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85"/>
      <c r="L116" s="14"/>
      <c r="M116" s="15"/>
      <c r="O116" s="12"/>
    </row>
    <row r="117" spans="1:15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16"/>
      <c r="K117" s="86"/>
      <c r="L117" s="10"/>
      <c r="M117" s="11"/>
    </row>
    <row r="118" spans="1:15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16"/>
      <c r="K118" s="86"/>
      <c r="L118" s="10"/>
      <c r="M118" s="11"/>
    </row>
    <row r="119" spans="1:15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16"/>
      <c r="K119" s="86"/>
      <c r="L119" s="10"/>
      <c r="M119" s="11"/>
      <c r="O119" s="3"/>
    </row>
    <row r="120" spans="1:15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16"/>
      <c r="K120" s="86"/>
      <c r="L120" s="10"/>
      <c r="M120" s="11"/>
    </row>
    <row r="121" spans="1:15" s="12" customFormat="1">
      <c r="A121" s="105" t="s">
        <v>108</v>
      </c>
      <c r="B121" s="35"/>
      <c r="C121" s="101"/>
      <c r="D121" s="9"/>
      <c r="E121" s="9"/>
      <c r="F121" s="41"/>
      <c r="G121" s="41"/>
      <c r="H121" s="41"/>
      <c r="I121" s="41"/>
      <c r="J121" s="16"/>
      <c r="K121" s="86"/>
      <c r="L121" s="137"/>
      <c r="M121" s="138"/>
    </row>
    <row r="122" spans="1:15" s="12" customFormat="1">
      <c r="A122" s="106" t="s">
        <v>136</v>
      </c>
      <c r="B122" s="36"/>
      <c r="C122" s="142">
        <v>656637.59</v>
      </c>
      <c r="D122" s="9"/>
      <c r="E122" s="9"/>
      <c r="F122" s="41"/>
      <c r="G122" s="41"/>
      <c r="H122" s="41"/>
      <c r="I122" s="41"/>
      <c r="J122" s="16"/>
      <c r="K122" s="86"/>
      <c r="L122" s="137"/>
      <c r="M122" s="138"/>
    </row>
    <row r="123" spans="1:15" s="12" customFormat="1">
      <c r="A123" s="106" t="s">
        <v>76</v>
      </c>
      <c r="B123" s="36"/>
      <c r="C123" s="142">
        <f>K18</f>
        <v>3241481.75</v>
      </c>
      <c r="D123" s="9"/>
      <c r="E123" s="9"/>
      <c r="F123" s="41"/>
      <c r="G123" s="41"/>
      <c r="H123" s="41"/>
      <c r="I123" s="41"/>
      <c r="J123" s="16"/>
      <c r="K123" s="86"/>
      <c r="L123" s="137"/>
      <c r="M123" s="138"/>
    </row>
    <row r="124" spans="1:15" s="12" customFormat="1">
      <c r="A124" s="106" t="s">
        <v>87</v>
      </c>
      <c r="B124" s="36"/>
      <c r="C124" s="124">
        <f>-K114</f>
        <v>-3471138.15</v>
      </c>
      <c r="D124" s="9"/>
      <c r="E124" s="9"/>
      <c r="F124" s="41"/>
      <c r="G124" s="41"/>
      <c r="H124" s="41"/>
      <c r="I124" s="41"/>
      <c r="J124" s="16"/>
      <c r="K124" s="86"/>
      <c r="L124" s="137"/>
      <c r="M124" s="138"/>
    </row>
    <row r="125" spans="1:15" s="12" customFormat="1" ht="18" customHeight="1">
      <c r="A125" s="107" t="s">
        <v>107</v>
      </c>
      <c r="B125" s="36"/>
      <c r="C125" s="143">
        <f>SUM(C122:C124)</f>
        <v>426981.18999999994</v>
      </c>
      <c r="D125" s="68"/>
      <c r="E125" s="9"/>
      <c r="F125" s="41"/>
      <c r="G125" s="41"/>
      <c r="H125" s="41"/>
      <c r="I125" s="41"/>
      <c r="J125" s="16"/>
      <c r="K125" s="86"/>
      <c r="L125" s="137"/>
      <c r="M125" s="138"/>
    </row>
    <row r="126" spans="1:15" s="130" customFormat="1">
      <c r="A126" s="125" t="s">
        <v>170</v>
      </c>
      <c r="B126" s="35"/>
      <c r="C126" s="144"/>
      <c r="D126" s="126"/>
      <c r="E126" s="9"/>
      <c r="F126" s="41"/>
      <c r="G126" s="41"/>
      <c r="H126" s="41"/>
      <c r="I126" s="41"/>
      <c r="J126" s="16"/>
      <c r="K126" s="86"/>
      <c r="L126" s="139"/>
      <c r="M126" s="136"/>
    </row>
    <row r="127" spans="1:15" s="130" customFormat="1">
      <c r="A127" s="131" t="s">
        <v>172</v>
      </c>
      <c r="B127" s="35"/>
      <c r="C127" s="142">
        <v>3021.53</v>
      </c>
      <c r="D127" s="126"/>
      <c r="E127" s="9"/>
      <c r="F127" s="41"/>
      <c r="G127" s="41"/>
      <c r="H127" s="41"/>
      <c r="I127" s="41"/>
      <c r="J127" s="16"/>
      <c r="K127" s="86"/>
      <c r="L127" s="139"/>
      <c r="M127" s="136"/>
    </row>
    <row r="128" spans="1:15" s="130" customFormat="1">
      <c r="A128" s="131" t="s">
        <v>171</v>
      </c>
      <c r="B128" s="36"/>
      <c r="C128" s="142">
        <v>219.61</v>
      </c>
      <c r="D128" s="126"/>
      <c r="E128" s="9"/>
      <c r="F128" s="41"/>
      <c r="G128" s="41"/>
      <c r="H128" s="41"/>
      <c r="I128" s="41"/>
      <c r="J128" s="16"/>
      <c r="K128" s="86"/>
      <c r="L128" s="139"/>
      <c r="M128" s="136"/>
    </row>
    <row r="129" spans="1:13" s="130" customFormat="1">
      <c r="A129" s="131" t="s">
        <v>173</v>
      </c>
      <c r="B129" s="36"/>
      <c r="C129" s="142">
        <v>3707.23</v>
      </c>
      <c r="D129" s="126"/>
      <c r="E129" s="126"/>
      <c r="F129" s="132"/>
      <c r="G129" s="48"/>
      <c r="H129" s="127"/>
      <c r="I129" s="141"/>
      <c r="J129" s="141"/>
      <c r="K129" s="141"/>
      <c r="L129" s="129"/>
    </row>
    <row r="130" spans="1:13" s="12" customFormat="1" ht="6.95" customHeight="1">
      <c r="A130" s="131"/>
      <c r="B130" s="36"/>
      <c r="C130" s="124"/>
      <c r="D130" s="9"/>
      <c r="E130" s="40"/>
      <c r="F130" s="132"/>
      <c r="G130" s="48"/>
      <c r="H130" s="41"/>
      <c r="I130" s="140"/>
      <c r="J130" s="140"/>
      <c r="K130" s="140"/>
      <c r="L130" s="11"/>
    </row>
    <row r="131" spans="1:13" s="130" customFormat="1">
      <c r="A131" s="131"/>
      <c r="B131" s="36"/>
      <c r="C131" s="143">
        <f>SUM(C127:C130)</f>
        <v>6948.3700000000008</v>
      </c>
      <c r="D131" s="126"/>
      <c r="E131" s="126"/>
      <c r="F131" s="132"/>
      <c r="G131" s="48"/>
      <c r="H131" s="127"/>
      <c r="I131" s="141"/>
      <c r="J131" s="141"/>
      <c r="K131" s="141"/>
      <c r="L131" s="129"/>
    </row>
    <row r="132" spans="1:13" s="130" customFormat="1" ht="6.95" customHeight="1">
      <c r="A132" s="131"/>
      <c r="B132" s="36"/>
      <c r="C132" s="145"/>
      <c r="D132" s="126"/>
      <c r="E132" s="126"/>
      <c r="F132" s="41"/>
      <c r="G132" s="41"/>
      <c r="H132" s="127"/>
      <c r="I132" s="141"/>
      <c r="J132" s="141"/>
      <c r="K132" s="141"/>
      <c r="L132" s="129"/>
    </row>
    <row r="133" spans="1:13" s="130" customFormat="1" ht="6.95" customHeight="1">
      <c r="A133" s="131"/>
      <c r="B133" s="36"/>
      <c r="C133" s="146"/>
      <c r="D133" s="126"/>
      <c r="E133" s="126"/>
      <c r="F133" s="41"/>
      <c r="G133" s="41"/>
      <c r="H133" s="127"/>
      <c r="I133" s="141"/>
      <c r="J133" s="141"/>
      <c r="K133" s="141"/>
      <c r="L133" s="129"/>
    </row>
    <row r="134" spans="1:13" s="130" customFormat="1" ht="18.75" thickBot="1">
      <c r="A134" s="133" t="s">
        <v>174</v>
      </c>
      <c r="B134" s="39"/>
      <c r="C134" s="147">
        <f>C125+C131</f>
        <v>433929.55999999994</v>
      </c>
      <c r="D134" s="134"/>
      <c r="F134" s="41"/>
      <c r="G134" s="41"/>
      <c r="H134" s="127"/>
      <c r="I134" s="128"/>
      <c r="J134" s="9"/>
      <c r="K134" s="10"/>
      <c r="L134" s="129"/>
    </row>
    <row r="135" spans="1:13" s="130" customFormat="1" ht="6.95" customHeight="1" thickTop="1" thickBot="1">
      <c r="A135" s="135"/>
      <c r="B135" s="38"/>
      <c r="C135" s="148"/>
      <c r="D135" s="134"/>
      <c r="F135" s="41"/>
      <c r="G135" s="41"/>
      <c r="H135" s="127"/>
      <c r="I135" s="128"/>
      <c r="J135" s="9"/>
      <c r="K135" s="10"/>
      <c r="L135" s="129"/>
    </row>
    <row r="136" spans="1:13">
      <c r="A136" s="17"/>
      <c r="C136" s="45"/>
      <c r="D136" s="69"/>
      <c r="G136" s="45"/>
      <c r="H136" s="45"/>
      <c r="I136" s="45"/>
      <c r="J136" s="45"/>
      <c r="L136" s="45"/>
      <c r="M136" s="45"/>
    </row>
    <row r="137" spans="1:13">
      <c r="A137" s="17"/>
      <c r="B137" s="17"/>
      <c r="C137" s="123"/>
      <c r="D137" s="69"/>
      <c r="G137" s="45"/>
      <c r="H137" s="45"/>
      <c r="I137" s="45"/>
      <c r="J137" s="45"/>
      <c r="L137" s="45"/>
      <c r="M137" s="45"/>
    </row>
    <row r="138" spans="1:13">
      <c r="A138" s="13"/>
      <c r="B138" s="70" t="s">
        <v>168</v>
      </c>
      <c r="C138" s="123"/>
      <c r="D138" s="69"/>
      <c r="E138" s="40"/>
      <c r="G138" s="45"/>
      <c r="H138" s="45"/>
      <c r="J138" s="45"/>
      <c r="L138" s="45"/>
      <c r="M138" s="45"/>
    </row>
    <row r="139" spans="1:13">
      <c r="A139" s="13"/>
      <c r="B139" s="17"/>
      <c r="C139" s="45"/>
      <c r="D139" s="69"/>
      <c r="E139" s="45"/>
      <c r="F139" s="45"/>
      <c r="G139" s="45"/>
      <c r="H139" s="45"/>
      <c r="I139" s="45"/>
      <c r="J139" s="45"/>
      <c r="L139" s="45"/>
      <c r="M139" s="45"/>
    </row>
    <row r="140" spans="1:13">
      <c r="A140" s="13"/>
      <c r="B140" s="17"/>
      <c r="C140" s="45"/>
      <c r="D140" s="69"/>
      <c r="E140" s="45"/>
      <c r="F140" s="45"/>
      <c r="G140" s="45"/>
      <c r="H140" s="45"/>
      <c r="I140" s="45"/>
      <c r="J140" s="45"/>
      <c r="L140" s="45"/>
      <c r="M140" s="45"/>
    </row>
    <row r="141" spans="1:13">
      <c r="A141" s="13"/>
      <c r="B141" s="17"/>
      <c r="C141" s="45"/>
      <c r="D141" s="69"/>
      <c r="E141" s="45"/>
      <c r="F141" s="45"/>
      <c r="G141" s="45"/>
      <c r="H141" s="45"/>
      <c r="I141" s="45"/>
      <c r="J141" s="45"/>
      <c r="L141" s="45"/>
      <c r="M141" s="45"/>
    </row>
    <row r="142" spans="1:13">
      <c r="A142" s="13"/>
      <c r="B142" s="17"/>
      <c r="C142" s="45"/>
      <c r="E142" s="45"/>
      <c r="F142" s="45"/>
      <c r="G142" s="45"/>
      <c r="H142" s="45"/>
      <c r="I142" s="45"/>
      <c r="J142" s="45"/>
      <c r="L142" s="45"/>
      <c r="M142" s="45"/>
    </row>
    <row r="143" spans="1:13">
      <c r="A143" s="66"/>
      <c r="B143" s="17"/>
      <c r="C143" s="45"/>
      <c r="D143" s="16"/>
      <c r="E143" s="40"/>
      <c r="F143" s="40"/>
      <c r="G143" s="45"/>
      <c r="H143" s="45"/>
      <c r="I143" s="45"/>
      <c r="J143" s="45"/>
      <c r="L143" s="45"/>
      <c r="M143" s="45"/>
    </row>
    <row r="144" spans="1:13">
      <c r="A144" s="66"/>
      <c r="B144" s="45"/>
      <c r="C144" s="45"/>
      <c r="D144" s="45"/>
      <c r="E144" s="40"/>
      <c r="F144" s="40"/>
      <c r="G144" s="45"/>
      <c r="H144" s="45"/>
      <c r="I144" s="45"/>
      <c r="J144" s="45"/>
      <c r="L144" s="45"/>
      <c r="M144" s="45"/>
    </row>
    <row r="145" spans="1:13" ht="18.75">
      <c r="A145" s="66"/>
      <c r="B145" s="46" t="s">
        <v>124</v>
      </c>
      <c r="D145" s="112" t="s">
        <v>138</v>
      </c>
      <c r="E145" s="46"/>
      <c r="F145" s="46"/>
      <c r="I145" s="113" t="s">
        <v>127</v>
      </c>
      <c r="K145" s="88"/>
      <c r="L145" s="51"/>
      <c r="M145" s="46"/>
    </row>
    <row r="146" spans="1:13" s="115" customFormat="1" ht="15.75">
      <c r="A146" s="114"/>
      <c r="B146" s="56" t="s">
        <v>125</v>
      </c>
      <c r="D146" s="116" t="s">
        <v>126</v>
      </c>
      <c r="E146" s="56"/>
      <c r="F146" s="56"/>
      <c r="I146" s="117" t="s">
        <v>123</v>
      </c>
      <c r="K146" s="118"/>
      <c r="L146" s="56"/>
      <c r="M146" s="56"/>
    </row>
    <row r="147" spans="1:13" ht="18.75">
      <c r="A147" s="66"/>
      <c r="B147" s="47"/>
      <c r="C147" s="71"/>
      <c r="D147" s="51"/>
      <c r="E147" s="47"/>
      <c r="F147" s="47"/>
      <c r="G147" s="47"/>
      <c r="H147" s="47"/>
      <c r="I147" s="51"/>
      <c r="J147" s="71"/>
      <c r="K147" s="88"/>
      <c r="L147" s="47"/>
      <c r="M147" s="47"/>
    </row>
    <row r="148" spans="1:13" ht="18.75">
      <c r="A148" s="66"/>
      <c r="B148" s="47"/>
      <c r="C148" s="47"/>
      <c r="D148" s="47"/>
      <c r="F148" s="47"/>
      <c r="G148" s="47"/>
      <c r="H148" s="47"/>
      <c r="I148" s="112"/>
      <c r="J148" s="47"/>
      <c r="K148" s="88"/>
      <c r="M148" s="47"/>
    </row>
  </sheetData>
  <mergeCells count="3">
    <mergeCell ref="A6:A7"/>
    <mergeCell ref="B6:B7"/>
    <mergeCell ref="K6:K7"/>
  </mergeCells>
  <printOptions horizontalCentered="1"/>
  <pageMargins left="0" right="0" top="0.78740157480314965" bottom="0.86614173228346458" header="0.31496062992125984" footer="0.31496062992125984"/>
  <pageSetup scale="55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showGridLines="0" zoomScale="75" zoomScaleNormal="75" workbookViewId="0">
      <selection activeCell="A15" sqref="A15"/>
    </sheetView>
  </sheetViews>
  <sheetFormatPr baseColWidth="10" defaultColWidth="11.42578125" defaultRowHeight="18"/>
  <cols>
    <col min="1" max="1" width="10.7109375" style="3" customWidth="1"/>
    <col min="2" max="2" width="64.7109375" style="3" customWidth="1"/>
    <col min="3" max="3" width="19.5703125" style="3" customWidth="1"/>
    <col min="4" max="9" width="16.42578125" style="3" customWidth="1"/>
    <col min="10" max="10" width="19.28515625" style="3" customWidth="1"/>
    <col min="11" max="11" width="19.28515625" style="87" customWidth="1"/>
    <col min="12" max="12" width="19.28515625" style="3" customWidth="1"/>
    <col min="13" max="13" width="12.7109375" style="3" customWidth="1"/>
    <col min="14" max="14" width="7" style="3" customWidth="1"/>
    <col min="15" max="15" width="19.5703125" style="3" bestFit="1" customWidth="1"/>
    <col min="16" max="16" width="15.42578125" style="3" bestFit="1" customWidth="1"/>
    <col min="17" max="16384" width="11.42578125" style="3"/>
  </cols>
  <sheetData>
    <row r="1" spans="1:1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80"/>
      <c r="L1" s="42"/>
      <c r="M1" s="42"/>
    </row>
    <row r="2" spans="1:1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80"/>
      <c r="L2" s="42"/>
      <c r="M2" s="42"/>
    </row>
    <row r="3" spans="1:15">
      <c r="A3" s="42" t="s">
        <v>175</v>
      </c>
      <c r="B3" s="42"/>
      <c r="C3" s="42"/>
      <c r="D3" s="42"/>
      <c r="E3" s="42"/>
      <c r="F3" s="42"/>
      <c r="G3" s="42"/>
      <c r="H3" s="42"/>
      <c r="I3" s="42"/>
      <c r="J3" s="42"/>
      <c r="K3" s="80"/>
      <c r="L3" s="42"/>
      <c r="M3" s="42"/>
    </row>
    <row r="4" spans="1:15" ht="17.850000000000001" customHeight="1">
      <c r="A4" s="90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80"/>
      <c r="L4" s="42"/>
      <c r="M4" s="42"/>
    </row>
    <row r="5" spans="1:15" ht="17.850000000000001" customHeight="1" thickBot="1">
      <c r="A5" s="42"/>
      <c r="B5" s="42"/>
      <c r="C5" s="42"/>
      <c r="D5" s="42"/>
      <c r="E5" s="42"/>
      <c r="F5" s="42"/>
      <c r="G5" s="42"/>
      <c r="H5" s="42"/>
      <c r="I5" s="42"/>
      <c r="J5" s="42"/>
      <c r="K5" s="80"/>
      <c r="L5" s="42"/>
      <c r="M5" s="42"/>
    </row>
    <row r="6" spans="1:15" ht="18.75" thickBot="1">
      <c r="A6" s="190" t="s">
        <v>5</v>
      </c>
      <c r="B6" s="192" t="s">
        <v>36</v>
      </c>
      <c r="C6" s="1" t="s">
        <v>1</v>
      </c>
      <c r="D6" s="89" t="s">
        <v>128</v>
      </c>
      <c r="E6" s="89"/>
      <c r="F6" s="89" t="s">
        <v>130</v>
      </c>
      <c r="G6" s="89"/>
      <c r="H6" s="89" t="s">
        <v>131</v>
      </c>
      <c r="I6" s="89"/>
      <c r="J6" s="1" t="s">
        <v>1</v>
      </c>
      <c r="K6" s="188" t="s">
        <v>2</v>
      </c>
      <c r="L6" s="2" t="s">
        <v>27</v>
      </c>
      <c r="M6" s="1" t="s">
        <v>29</v>
      </c>
    </row>
    <row r="7" spans="1:15" ht="18.75" thickBot="1">
      <c r="A7" s="191"/>
      <c r="B7" s="193"/>
      <c r="C7" s="4" t="s">
        <v>3</v>
      </c>
      <c r="D7" s="5" t="s">
        <v>121</v>
      </c>
      <c r="E7" s="5" t="s">
        <v>122</v>
      </c>
      <c r="F7" s="5" t="s">
        <v>121</v>
      </c>
      <c r="G7" s="5" t="s">
        <v>122</v>
      </c>
      <c r="H7" s="5" t="s">
        <v>121</v>
      </c>
      <c r="I7" s="5" t="s">
        <v>122</v>
      </c>
      <c r="J7" s="4" t="s">
        <v>4</v>
      </c>
      <c r="K7" s="189"/>
      <c r="L7" s="6" t="s">
        <v>28</v>
      </c>
      <c r="M7" s="7" t="s">
        <v>30</v>
      </c>
    </row>
    <row r="8" spans="1:15">
      <c r="A8" s="30"/>
      <c r="B8" s="32" t="s">
        <v>103</v>
      </c>
      <c r="C8" s="43"/>
      <c r="D8" s="43"/>
      <c r="E8" s="43"/>
      <c r="F8" s="43"/>
      <c r="G8" s="43"/>
      <c r="H8" s="43"/>
      <c r="I8" s="43"/>
      <c r="J8" s="43"/>
      <c r="K8" s="81"/>
      <c r="L8" s="74"/>
      <c r="M8" s="43"/>
    </row>
    <row r="9" spans="1:15">
      <c r="A9" s="78"/>
      <c r="B9" s="79"/>
      <c r="C9" s="43"/>
      <c r="D9" s="43"/>
      <c r="E9" s="43"/>
      <c r="F9" s="43"/>
      <c r="G9" s="43"/>
      <c r="H9" s="43"/>
      <c r="I9" s="43"/>
      <c r="J9" s="43"/>
      <c r="K9" s="81"/>
      <c r="L9" s="74"/>
      <c r="M9" s="43"/>
    </row>
    <row r="10" spans="1:15">
      <c r="A10" s="24"/>
      <c r="B10" s="31" t="s">
        <v>104</v>
      </c>
      <c r="C10" s="33">
        <v>656637.59</v>
      </c>
      <c r="D10" s="20"/>
      <c r="E10" s="18"/>
      <c r="F10" s="20"/>
      <c r="G10" s="20"/>
      <c r="H10" s="20"/>
      <c r="I10" s="20"/>
      <c r="J10" s="33">
        <f t="shared" ref="J10:J17" si="0">C10+D10-E10+F10-G10+H10-I10</f>
        <v>656637.59</v>
      </c>
      <c r="K10" s="49">
        <v>0</v>
      </c>
      <c r="L10" s="74">
        <f t="shared" ref="L10:L15" si="1">J10-K10+I10</f>
        <v>656637.59</v>
      </c>
      <c r="M10" s="57">
        <f>K10/K18</f>
        <v>0</v>
      </c>
    </row>
    <row r="11" spans="1:15">
      <c r="A11" s="91" t="s">
        <v>26</v>
      </c>
      <c r="B11" s="20" t="s">
        <v>49</v>
      </c>
      <c r="C11" s="33">
        <f>12500+75000+2500</f>
        <v>90000</v>
      </c>
      <c r="D11" s="18"/>
      <c r="E11" s="18"/>
      <c r="F11" s="18"/>
      <c r="G11" s="18"/>
      <c r="H11" s="18"/>
      <c r="I11" s="18"/>
      <c r="J11" s="33">
        <f t="shared" si="0"/>
        <v>90000</v>
      </c>
      <c r="K11" s="49">
        <f>6885+7250+5010+5735+2005+6610+400+7470+800+3895+935+2335+600+2438+805+2809+1200+1914</f>
        <v>59096</v>
      </c>
      <c r="L11" s="72">
        <f t="shared" si="1"/>
        <v>30904</v>
      </c>
      <c r="M11" s="57">
        <f>K11/K18</f>
        <v>1.7134481463434562E-2</v>
      </c>
    </row>
    <row r="12" spans="1:15">
      <c r="A12" s="92">
        <v>15.1</v>
      </c>
      <c r="B12" s="20" t="s">
        <v>133</v>
      </c>
      <c r="C12" s="33">
        <v>4000</v>
      </c>
      <c r="D12" s="18"/>
      <c r="E12" s="18"/>
      <c r="F12" s="18"/>
      <c r="G12" s="18"/>
      <c r="H12" s="18"/>
      <c r="I12" s="18"/>
      <c r="J12" s="33">
        <f t="shared" si="0"/>
        <v>4000</v>
      </c>
      <c r="K12" s="49">
        <f>154.29+74.21+47.84+63.83+246.6+43.51+44.38+83.46+31.93</f>
        <v>790.05</v>
      </c>
      <c r="L12" s="72">
        <f t="shared" si="1"/>
        <v>3209.95</v>
      </c>
      <c r="M12" s="57">
        <f>K12/K18</f>
        <v>2.2906959997608085E-4</v>
      </c>
    </row>
    <row r="13" spans="1:15">
      <c r="A13" s="91" t="s">
        <v>141</v>
      </c>
      <c r="B13" s="20" t="s">
        <v>134</v>
      </c>
      <c r="C13" s="33">
        <f>195493.74*12</f>
        <v>2345924.88</v>
      </c>
      <c r="D13" s="18"/>
      <c r="E13" s="18"/>
      <c r="F13" s="18"/>
      <c r="G13" s="18"/>
      <c r="H13" s="18"/>
      <c r="I13" s="18"/>
      <c r="J13" s="33">
        <f t="shared" si="0"/>
        <v>2345924.88</v>
      </c>
      <c r="K13" s="49">
        <f>195493.74+40518.88+404398.5+199964.08+198363.1+3864.56+199964.08+228755.24+228755.24+199964.08</f>
        <v>1900041.5</v>
      </c>
      <c r="L13" s="72">
        <f t="shared" si="1"/>
        <v>445883.37999999989</v>
      </c>
      <c r="M13" s="57">
        <f>K13/K18</f>
        <v>0.55090405207639093</v>
      </c>
      <c r="O13" s="58"/>
    </row>
    <row r="14" spans="1:15">
      <c r="A14" s="91" t="s">
        <v>142</v>
      </c>
      <c r="B14" s="20" t="s">
        <v>146</v>
      </c>
      <c r="C14" s="33">
        <v>4496358.8600000003</v>
      </c>
      <c r="D14" s="18"/>
      <c r="E14" s="18"/>
      <c r="F14" s="73"/>
      <c r="G14" s="18"/>
      <c r="H14" s="18"/>
      <c r="I14" s="18"/>
      <c r="J14" s="33">
        <f t="shared" si="0"/>
        <v>4496358.8600000003</v>
      </c>
      <c r="K14" s="49">
        <v>0</v>
      </c>
      <c r="L14" s="72">
        <f t="shared" si="1"/>
        <v>4496358.8600000003</v>
      </c>
      <c r="M14" s="57">
        <f>K14/K18</f>
        <v>0</v>
      </c>
      <c r="O14" s="58"/>
    </row>
    <row r="15" spans="1:15">
      <c r="A15" s="91" t="s">
        <v>143</v>
      </c>
      <c r="B15" s="20" t="s">
        <v>147</v>
      </c>
      <c r="C15" s="33">
        <v>2969280.92</v>
      </c>
      <c r="D15" s="18"/>
      <c r="E15" s="18"/>
      <c r="F15" s="18"/>
      <c r="G15" s="18"/>
      <c r="H15" s="18"/>
      <c r="I15" s="18"/>
      <c r="J15" s="33">
        <f t="shared" si="0"/>
        <v>2969280.92</v>
      </c>
      <c r="K15" s="49">
        <f>174488.09+436428.77+714931.38+46144.8+35496.86+19055.4+27315.53+13360.95+17442.43+4360</f>
        <v>1489024.21</v>
      </c>
      <c r="L15" s="74">
        <f t="shared" si="1"/>
        <v>1480256.71</v>
      </c>
      <c r="M15" s="57">
        <v>0</v>
      </c>
      <c r="O15" s="58"/>
    </row>
    <row r="16" spans="1:15">
      <c r="A16" s="91" t="s">
        <v>144</v>
      </c>
      <c r="B16" s="20" t="s">
        <v>145</v>
      </c>
      <c r="C16" s="33">
        <v>15000</v>
      </c>
      <c r="D16" s="18"/>
      <c r="E16" s="18"/>
      <c r="F16" s="18"/>
      <c r="G16" s="18"/>
      <c r="H16" s="18"/>
      <c r="I16" s="18"/>
      <c r="J16" s="33">
        <f>C16+D16-E16+F16-G16+H16-I16</f>
        <v>15000</v>
      </c>
      <c r="K16" s="49">
        <v>0</v>
      </c>
      <c r="L16" s="74">
        <f>J16-K16+I16</f>
        <v>15000</v>
      </c>
      <c r="M16" s="57">
        <v>0</v>
      </c>
      <c r="O16" s="58"/>
    </row>
    <row r="17" spans="1:15" ht="18.75" thickBot="1">
      <c r="A17" s="59"/>
      <c r="B17" s="60"/>
      <c r="C17" s="33">
        <v>0</v>
      </c>
      <c r="D17" s="52"/>
      <c r="E17" s="52"/>
      <c r="F17" s="52"/>
      <c r="G17" s="52"/>
      <c r="H17" s="52"/>
      <c r="I17" s="52"/>
      <c r="J17" s="33">
        <f t="shared" si="0"/>
        <v>0</v>
      </c>
      <c r="K17" s="49">
        <v>0</v>
      </c>
      <c r="L17" s="75">
        <f>-K17+I17</f>
        <v>0</v>
      </c>
      <c r="M17" s="61">
        <f>K17/K18</f>
        <v>0</v>
      </c>
      <c r="O17" s="58"/>
    </row>
    <row r="18" spans="1:15" ht="18.75" customHeight="1" thickBot="1">
      <c r="A18" s="29"/>
      <c r="B18" s="28" t="s">
        <v>6</v>
      </c>
      <c r="C18" s="94">
        <f>SUM(C10:C17)</f>
        <v>10577202.25</v>
      </c>
      <c r="D18" s="93">
        <f>SUM(D10:D17)</f>
        <v>0</v>
      </c>
      <c r="E18" s="93">
        <f>SUM(E10:E17)</f>
        <v>0</v>
      </c>
      <c r="F18" s="93">
        <f>SUM(F10:F17)</f>
        <v>0</v>
      </c>
      <c r="G18" s="93">
        <f>SUM(G10:G17)</f>
        <v>0</v>
      </c>
      <c r="H18" s="93"/>
      <c r="I18" s="93">
        <f>SUM(I10:I17)</f>
        <v>0</v>
      </c>
      <c r="J18" s="95">
        <f>ROUND((SUM(J10:J17)),2)</f>
        <v>10577202.25</v>
      </c>
      <c r="K18" s="95">
        <f>ROUND((SUM(K10:K17)),2)</f>
        <v>3448951.76</v>
      </c>
      <c r="L18" s="95">
        <f>ROUND((SUM(L10:L17)),2)</f>
        <v>7128250.4900000002</v>
      </c>
      <c r="M18" s="96">
        <f>SUM(M17:M17)</f>
        <v>0</v>
      </c>
      <c r="O18" s="58"/>
    </row>
    <row r="19" spans="1:15">
      <c r="A19" s="54"/>
      <c r="B19" s="55"/>
      <c r="C19" s="43"/>
      <c r="D19" s="62"/>
      <c r="E19" s="43"/>
      <c r="F19" s="43"/>
      <c r="G19" s="43"/>
      <c r="H19" s="43"/>
      <c r="I19" s="43"/>
      <c r="J19" s="43"/>
      <c r="K19" s="82"/>
      <c r="L19" s="43"/>
      <c r="M19" s="43"/>
      <c r="O19" s="58"/>
    </row>
    <row r="20" spans="1:15">
      <c r="A20" s="78" t="s">
        <v>5</v>
      </c>
      <c r="B20" s="79" t="s">
        <v>102</v>
      </c>
      <c r="C20" s="43"/>
      <c r="D20" s="43"/>
      <c r="E20" s="43"/>
      <c r="F20" s="43"/>
      <c r="G20" s="43"/>
      <c r="H20" s="43"/>
      <c r="I20" s="43"/>
      <c r="J20" s="43"/>
      <c r="K20" s="82"/>
      <c r="L20" s="43"/>
      <c r="M20" s="43"/>
      <c r="O20" s="58"/>
    </row>
    <row r="21" spans="1:15">
      <c r="A21" s="23">
        <v>0</v>
      </c>
      <c r="B21" s="23" t="s">
        <v>9</v>
      </c>
      <c r="C21" s="33"/>
      <c r="D21" s="33"/>
      <c r="E21" s="33"/>
      <c r="F21" s="33"/>
      <c r="G21" s="33"/>
      <c r="H21" s="33"/>
      <c r="I21" s="33"/>
      <c r="J21" s="33"/>
      <c r="K21" s="81"/>
      <c r="L21" s="49"/>
      <c r="M21" s="53"/>
      <c r="O21" s="58"/>
    </row>
    <row r="22" spans="1:15">
      <c r="A22" s="19" t="s">
        <v>13</v>
      </c>
      <c r="B22" s="20" t="s">
        <v>79</v>
      </c>
      <c r="C22" s="33">
        <v>669886</v>
      </c>
      <c r="D22" s="33"/>
      <c r="E22" s="33"/>
      <c r="F22" s="33"/>
      <c r="G22" s="33"/>
      <c r="H22" s="33"/>
      <c r="I22" s="33"/>
      <c r="J22" s="33">
        <f t="shared" ref="J22:J69" si="2">C22+D22-E22+F22-G22+H22-I22</f>
        <v>669886</v>
      </c>
      <c r="K22" s="49">
        <v>481421.39</v>
      </c>
      <c r="L22" s="49">
        <f>J22-K22</f>
        <v>188464.61</v>
      </c>
      <c r="M22" s="53">
        <f t="shared" ref="M22:M33" si="3">K22/$K$114</f>
        <v>0.13122597184487875</v>
      </c>
      <c r="O22" s="58"/>
    </row>
    <row r="23" spans="1:15">
      <c r="A23" s="19" t="s">
        <v>31</v>
      </c>
      <c r="B23" s="20" t="s">
        <v>32</v>
      </c>
      <c r="C23" s="33">
        <v>4500</v>
      </c>
      <c r="D23" s="33"/>
      <c r="E23" s="33"/>
      <c r="F23" s="33"/>
      <c r="G23" s="33"/>
      <c r="H23" s="33"/>
      <c r="I23" s="33"/>
      <c r="J23" s="33">
        <f t="shared" si="2"/>
        <v>4500</v>
      </c>
      <c r="K23" s="49">
        <v>3375</v>
      </c>
      <c r="L23" s="49">
        <f t="shared" ref="L23:L69" si="4">J23-K23</f>
        <v>1125</v>
      </c>
      <c r="M23" s="53">
        <f t="shared" si="3"/>
        <v>9.1995840686776671E-4</v>
      </c>
      <c r="O23" s="58"/>
    </row>
    <row r="24" spans="1:15">
      <c r="A24" s="19" t="s">
        <v>14</v>
      </c>
      <c r="B24" s="20" t="s">
        <v>38</v>
      </c>
      <c r="C24" s="33">
        <v>112250</v>
      </c>
      <c r="D24" s="33"/>
      <c r="E24" s="33"/>
      <c r="F24" s="33"/>
      <c r="G24" s="33"/>
      <c r="H24" s="33"/>
      <c r="I24" s="33"/>
      <c r="J24" s="33">
        <f t="shared" si="2"/>
        <v>112250</v>
      </c>
      <c r="K24" s="49">
        <v>73200</v>
      </c>
      <c r="L24" s="49">
        <f t="shared" si="4"/>
        <v>39050</v>
      </c>
      <c r="M24" s="53">
        <f t="shared" si="3"/>
        <v>1.9952875668954227E-2</v>
      </c>
      <c r="O24" s="58"/>
    </row>
    <row r="25" spans="1:15" hidden="1">
      <c r="A25" s="19" t="s">
        <v>114</v>
      </c>
      <c r="B25" s="20" t="s">
        <v>115</v>
      </c>
      <c r="C25" s="33"/>
      <c r="D25" s="33"/>
      <c r="E25" s="33"/>
      <c r="F25" s="33"/>
      <c r="G25" s="33"/>
      <c r="H25" s="33"/>
      <c r="I25" s="33"/>
      <c r="J25" s="33">
        <f t="shared" si="2"/>
        <v>0</v>
      </c>
      <c r="K25" s="49"/>
      <c r="L25" s="49">
        <f t="shared" si="4"/>
        <v>0</v>
      </c>
      <c r="M25" s="53">
        <f t="shared" si="3"/>
        <v>0</v>
      </c>
      <c r="O25" s="58"/>
    </row>
    <row r="26" spans="1:15">
      <c r="A26" s="19" t="s">
        <v>116</v>
      </c>
      <c r="B26" s="20" t="s">
        <v>117</v>
      </c>
      <c r="C26" s="33">
        <v>0</v>
      </c>
      <c r="D26" s="33"/>
      <c r="E26" s="33"/>
      <c r="F26" s="33"/>
      <c r="G26" s="33"/>
      <c r="H26" s="33"/>
      <c r="I26" s="33"/>
      <c r="J26" s="33">
        <f t="shared" si="2"/>
        <v>0</v>
      </c>
      <c r="K26" s="49">
        <v>0</v>
      </c>
      <c r="L26" s="49">
        <f t="shared" si="4"/>
        <v>0</v>
      </c>
      <c r="M26" s="53">
        <f t="shared" si="3"/>
        <v>0</v>
      </c>
      <c r="O26" s="58"/>
    </row>
    <row r="27" spans="1:15">
      <c r="A27" s="19" t="s">
        <v>88</v>
      </c>
      <c r="B27" s="20" t="s">
        <v>89</v>
      </c>
      <c r="C27" s="33">
        <v>15400</v>
      </c>
      <c r="D27" s="33"/>
      <c r="E27" s="33"/>
      <c r="F27" s="33"/>
      <c r="G27" s="33"/>
      <c r="H27" s="33"/>
      <c r="I27" s="33"/>
      <c r="J27" s="33">
        <f t="shared" si="2"/>
        <v>15400</v>
      </c>
      <c r="K27" s="49">
        <v>5600</v>
      </c>
      <c r="L27" s="49">
        <f t="shared" si="4"/>
        <v>9800</v>
      </c>
      <c r="M27" s="53">
        <f t="shared" si="3"/>
        <v>1.5264495047287389E-3</v>
      </c>
      <c r="O27" s="58"/>
    </row>
    <row r="28" spans="1:15">
      <c r="A28" s="19" t="s">
        <v>20</v>
      </c>
      <c r="B28" s="20" t="s">
        <v>21</v>
      </c>
      <c r="C28" s="33">
        <v>31068.6</v>
      </c>
      <c r="D28" s="33"/>
      <c r="E28" s="33"/>
      <c r="F28" s="33"/>
      <c r="G28" s="33"/>
      <c r="H28" s="33"/>
      <c r="I28" s="33"/>
      <c r="J28" s="33">
        <f t="shared" si="2"/>
        <v>31068.6</v>
      </c>
      <c r="K28" s="49">
        <v>27916.359999999997</v>
      </c>
      <c r="L28" s="49">
        <f t="shared" si="4"/>
        <v>3152.2400000000016</v>
      </c>
      <c r="M28" s="53">
        <f t="shared" si="3"/>
        <v>7.6094489099694943E-3</v>
      </c>
      <c r="O28" s="58"/>
    </row>
    <row r="29" spans="1:15">
      <c r="A29" s="19" t="s">
        <v>15</v>
      </c>
      <c r="B29" s="20" t="s">
        <v>110</v>
      </c>
      <c r="C29" s="33">
        <v>94901</v>
      </c>
      <c r="D29" s="33"/>
      <c r="E29" s="33"/>
      <c r="F29" s="33"/>
      <c r="G29" s="33"/>
      <c r="H29" s="33"/>
      <c r="I29" s="33"/>
      <c r="J29" s="33">
        <f t="shared" si="2"/>
        <v>94901</v>
      </c>
      <c r="K29" s="49">
        <v>48018.91</v>
      </c>
      <c r="L29" s="49">
        <f t="shared" si="4"/>
        <v>46882.09</v>
      </c>
      <c r="M29" s="53">
        <f t="shared" si="3"/>
        <v>1.3089007390556051E-2</v>
      </c>
      <c r="O29" s="58"/>
    </row>
    <row r="30" spans="1:15">
      <c r="A30" s="19" t="s">
        <v>16</v>
      </c>
      <c r="B30" s="20" t="s">
        <v>111</v>
      </c>
      <c r="C30" s="33">
        <v>8132.05</v>
      </c>
      <c r="D30" s="33"/>
      <c r="E30" s="33"/>
      <c r="F30" s="33"/>
      <c r="G30" s="33"/>
      <c r="H30" s="33"/>
      <c r="I30" s="33"/>
      <c r="J30" s="33">
        <f t="shared" si="2"/>
        <v>8132.05</v>
      </c>
      <c r="K30" s="49">
        <v>4500.38</v>
      </c>
      <c r="L30" s="49">
        <f t="shared" si="4"/>
        <v>3631.67</v>
      </c>
      <c r="M30" s="53">
        <f t="shared" si="3"/>
        <v>1.2267147896591289E-3</v>
      </c>
      <c r="O30" s="58"/>
    </row>
    <row r="31" spans="1:15">
      <c r="A31" s="19" t="s">
        <v>17</v>
      </c>
      <c r="B31" s="21" t="s">
        <v>77</v>
      </c>
      <c r="C31" s="33">
        <v>59303</v>
      </c>
      <c r="D31" s="33"/>
      <c r="E31" s="33"/>
      <c r="F31" s="33"/>
      <c r="G31" s="33"/>
      <c r="H31" s="33"/>
      <c r="I31" s="33"/>
      <c r="J31" s="33">
        <f t="shared" si="2"/>
        <v>59303</v>
      </c>
      <c r="K31" s="49">
        <v>0</v>
      </c>
      <c r="L31" s="49">
        <f t="shared" si="4"/>
        <v>59303</v>
      </c>
      <c r="M31" s="53">
        <f t="shared" si="3"/>
        <v>0</v>
      </c>
      <c r="O31" s="58"/>
    </row>
    <row r="32" spans="1:15">
      <c r="A32" s="19" t="s">
        <v>18</v>
      </c>
      <c r="B32" s="20" t="s">
        <v>80</v>
      </c>
      <c r="C32" s="33">
        <v>59303</v>
      </c>
      <c r="D32" s="33"/>
      <c r="E32" s="33"/>
      <c r="F32" s="33"/>
      <c r="G32" s="33"/>
      <c r="H32" s="33"/>
      <c r="I32" s="33"/>
      <c r="J32" s="33">
        <f t="shared" si="2"/>
        <v>59303</v>
      </c>
      <c r="K32" s="49">
        <v>51031.86</v>
      </c>
      <c r="L32" s="49">
        <f t="shared" si="4"/>
        <v>8271.14</v>
      </c>
      <c r="M32" s="53">
        <f t="shared" si="3"/>
        <v>1.3910278111140418E-2</v>
      </c>
      <c r="O32" s="58"/>
    </row>
    <row r="33" spans="1:15">
      <c r="A33" s="19" t="s">
        <v>19</v>
      </c>
      <c r="B33" s="20" t="s">
        <v>78</v>
      </c>
      <c r="C33" s="33">
        <v>4000</v>
      </c>
      <c r="D33" s="33"/>
      <c r="E33" s="33"/>
      <c r="F33" s="33"/>
      <c r="G33" s="33"/>
      <c r="H33" s="33"/>
      <c r="I33" s="33"/>
      <c r="J33" s="33">
        <f t="shared" si="2"/>
        <v>4000</v>
      </c>
      <c r="K33" s="49">
        <v>0</v>
      </c>
      <c r="L33" s="49">
        <f t="shared" si="4"/>
        <v>4000</v>
      </c>
      <c r="M33" s="53">
        <f t="shared" si="3"/>
        <v>0</v>
      </c>
      <c r="O33" s="58"/>
    </row>
    <row r="34" spans="1:15">
      <c r="A34" s="19"/>
      <c r="B34" s="20"/>
      <c r="C34" s="33"/>
      <c r="D34" s="33"/>
      <c r="E34" s="33"/>
      <c r="F34" s="33"/>
      <c r="G34" s="33"/>
      <c r="H34" s="33"/>
      <c r="I34" s="33"/>
      <c r="J34" s="33"/>
      <c r="K34" s="81"/>
      <c r="L34" s="49"/>
      <c r="M34" s="53"/>
      <c r="O34" s="58"/>
    </row>
    <row r="35" spans="1:15">
      <c r="A35" s="23">
        <v>1</v>
      </c>
      <c r="B35" s="23" t="s">
        <v>10</v>
      </c>
      <c r="C35" s="33"/>
      <c r="D35" s="33"/>
      <c r="E35" s="33"/>
      <c r="F35" s="33"/>
      <c r="G35" s="33"/>
      <c r="H35" s="33"/>
      <c r="I35" s="33"/>
      <c r="J35" s="33"/>
      <c r="K35" s="83"/>
      <c r="L35" s="49"/>
      <c r="M35" s="53"/>
      <c r="O35" s="58"/>
    </row>
    <row r="36" spans="1:15">
      <c r="A36" s="24">
        <v>111</v>
      </c>
      <c r="B36" s="20" t="s">
        <v>39</v>
      </c>
      <c r="C36" s="33">
        <v>13125</v>
      </c>
      <c r="D36" s="33"/>
      <c r="E36" s="33"/>
      <c r="F36" s="33"/>
      <c r="G36" s="33"/>
      <c r="H36" s="33"/>
      <c r="I36" s="33"/>
      <c r="J36" s="33">
        <f t="shared" si="2"/>
        <v>13125</v>
      </c>
      <c r="K36" s="49">
        <v>6667.6600000000008</v>
      </c>
      <c r="L36" s="49">
        <f t="shared" si="4"/>
        <v>6457.3399999999992</v>
      </c>
      <c r="M36" s="53">
        <f t="shared" ref="M36:M69" si="5">K36/$K$114</f>
        <v>1.817472554410647E-3</v>
      </c>
      <c r="O36" s="58"/>
    </row>
    <row r="37" spans="1:15">
      <c r="A37" s="24">
        <v>113</v>
      </c>
      <c r="B37" s="20" t="s">
        <v>48</v>
      </c>
      <c r="C37" s="33">
        <v>24780</v>
      </c>
      <c r="D37" s="33"/>
      <c r="E37" s="33"/>
      <c r="F37" s="33"/>
      <c r="G37" s="33"/>
      <c r="H37" s="33"/>
      <c r="I37" s="33"/>
      <c r="J37" s="33">
        <f t="shared" si="2"/>
        <v>24780</v>
      </c>
      <c r="K37" s="49">
        <v>16116</v>
      </c>
      <c r="L37" s="49">
        <f t="shared" si="4"/>
        <v>8664</v>
      </c>
      <c r="M37" s="53">
        <f t="shared" si="5"/>
        <v>4.3929036103943489E-3</v>
      </c>
      <c r="O37" s="58"/>
    </row>
    <row r="38" spans="1:15">
      <c r="A38" s="24">
        <v>114</v>
      </c>
      <c r="B38" s="20" t="s">
        <v>109</v>
      </c>
      <c r="C38" s="33">
        <v>2500</v>
      </c>
      <c r="D38" s="33"/>
      <c r="E38" s="33"/>
      <c r="F38" s="33"/>
      <c r="G38" s="33"/>
      <c r="H38" s="33"/>
      <c r="I38" s="33"/>
      <c r="J38" s="33">
        <f t="shared" si="2"/>
        <v>2500</v>
      </c>
      <c r="K38" s="49">
        <v>596.51</v>
      </c>
      <c r="L38" s="49">
        <f t="shared" si="4"/>
        <v>1903.49</v>
      </c>
      <c r="M38" s="53">
        <f t="shared" si="5"/>
        <v>1.6259685608316786E-4</v>
      </c>
      <c r="O38" s="58"/>
    </row>
    <row r="39" spans="1:15">
      <c r="A39" s="24">
        <v>121</v>
      </c>
      <c r="B39" s="20" t="s">
        <v>155</v>
      </c>
      <c r="C39" s="33">
        <v>12250</v>
      </c>
      <c r="D39" s="33"/>
      <c r="E39" s="33"/>
      <c r="F39" s="33"/>
      <c r="G39" s="33"/>
      <c r="H39" s="33"/>
      <c r="I39" s="33"/>
      <c r="J39" s="33">
        <f t="shared" si="2"/>
        <v>12250</v>
      </c>
      <c r="K39" s="49">
        <v>4101</v>
      </c>
      <c r="L39" s="49">
        <f t="shared" si="4"/>
        <v>8149</v>
      </c>
      <c r="M39" s="53">
        <f t="shared" si="5"/>
        <v>1.1178516819450996E-3</v>
      </c>
      <c r="O39" s="58"/>
    </row>
    <row r="40" spans="1:15">
      <c r="A40" s="24">
        <v>122</v>
      </c>
      <c r="B40" s="20" t="s">
        <v>81</v>
      </c>
      <c r="C40" s="33">
        <v>29000</v>
      </c>
      <c r="D40" s="33"/>
      <c r="E40" s="33"/>
      <c r="F40" s="33"/>
      <c r="G40" s="33"/>
      <c r="H40" s="33"/>
      <c r="I40" s="33"/>
      <c r="J40" s="33">
        <f t="shared" si="2"/>
        <v>29000</v>
      </c>
      <c r="K40" s="49">
        <v>21085.5</v>
      </c>
      <c r="L40" s="49">
        <f t="shared" si="4"/>
        <v>7914.5</v>
      </c>
      <c r="M40" s="53">
        <f t="shared" si="5"/>
        <v>5.7474912557067539E-3</v>
      </c>
      <c r="N40" s="63"/>
      <c r="O40" s="58"/>
    </row>
    <row r="41" spans="1:15">
      <c r="A41" s="24">
        <v>131</v>
      </c>
      <c r="B41" s="20" t="s">
        <v>51</v>
      </c>
      <c r="C41" s="33">
        <v>1251963.1500000001</v>
      </c>
      <c r="D41" s="33">
        <v>250000</v>
      </c>
      <c r="E41" s="33"/>
      <c r="F41" s="33"/>
      <c r="G41" s="33">
        <v>60000</v>
      </c>
      <c r="H41" s="33"/>
      <c r="I41" s="33"/>
      <c r="J41" s="33">
        <f t="shared" si="2"/>
        <v>1441963.1500000001</v>
      </c>
      <c r="K41" s="49">
        <v>1309859.0599999998</v>
      </c>
      <c r="L41" s="49">
        <f t="shared" si="4"/>
        <v>132104.09000000032</v>
      </c>
      <c r="M41" s="53">
        <f t="shared" si="5"/>
        <v>0.35704173453597343</v>
      </c>
      <c r="O41" s="58"/>
    </row>
    <row r="42" spans="1:15">
      <c r="A42" s="24">
        <v>133</v>
      </c>
      <c r="B42" s="20" t="s">
        <v>52</v>
      </c>
      <c r="C42" s="33">
        <v>1500</v>
      </c>
      <c r="D42" s="33"/>
      <c r="E42" s="33"/>
      <c r="F42" s="33"/>
      <c r="G42" s="33"/>
      <c r="H42" s="33"/>
      <c r="I42" s="33"/>
      <c r="J42" s="33">
        <f t="shared" si="2"/>
        <v>1500</v>
      </c>
      <c r="K42" s="49">
        <v>0</v>
      </c>
      <c r="L42" s="49">
        <f t="shared" si="4"/>
        <v>1500</v>
      </c>
      <c r="M42" s="53">
        <f t="shared" si="5"/>
        <v>0</v>
      </c>
      <c r="O42" s="58"/>
    </row>
    <row r="43" spans="1:15" hidden="1">
      <c r="A43" s="24">
        <v>134</v>
      </c>
      <c r="B43" s="20" t="s">
        <v>82</v>
      </c>
      <c r="C43" s="33">
        <v>0</v>
      </c>
      <c r="D43" s="33"/>
      <c r="E43" s="33"/>
      <c r="F43" s="33"/>
      <c r="G43" s="33"/>
      <c r="H43" s="33"/>
      <c r="I43" s="33"/>
      <c r="J43" s="33">
        <f t="shared" si="2"/>
        <v>0</v>
      </c>
      <c r="K43" s="49">
        <v>0</v>
      </c>
      <c r="L43" s="49">
        <f t="shared" si="4"/>
        <v>0</v>
      </c>
      <c r="M43" s="53">
        <f t="shared" si="5"/>
        <v>0</v>
      </c>
      <c r="O43" s="58"/>
    </row>
    <row r="44" spans="1:15">
      <c r="A44" s="24">
        <v>135</v>
      </c>
      <c r="B44" s="20" t="s">
        <v>90</v>
      </c>
      <c r="C44" s="33">
        <v>100840.04999999999</v>
      </c>
      <c r="D44" s="33">
        <v>15000</v>
      </c>
      <c r="E44" s="33"/>
      <c r="F44" s="33">
        <v>60000</v>
      </c>
      <c r="G44" s="33"/>
      <c r="H44" s="33"/>
      <c r="I44" s="33"/>
      <c r="J44" s="33">
        <f t="shared" si="2"/>
        <v>175840.05</v>
      </c>
      <c r="K44" s="49">
        <v>166069.52000000002</v>
      </c>
      <c r="L44" s="49">
        <f t="shared" si="4"/>
        <v>9770.5299999999697</v>
      </c>
      <c r="M44" s="53">
        <f t="shared" si="5"/>
        <v>4.5267274384739181E-2</v>
      </c>
      <c r="O44" s="58"/>
    </row>
    <row r="45" spans="1:15">
      <c r="A45" s="24">
        <v>141</v>
      </c>
      <c r="B45" s="20" t="s">
        <v>71</v>
      </c>
      <c r="C45" s="33">
        <v>846850</v>
      </c>
      <c r="D45" s="33"/>
      <c r="E45" s="33">
        <v>210000</v>
      </c>
      <c r="F45" s="33">
        <v>65000</v>
      </c>
      <c r="G45" s="33"/>
      <c r="H45" s="33"/>
      <c r="I45" s="33"/>
      <c r="J45" s="33">
        <f t="shared" si="2"/>
        <v>701850</v>
      </c>
      <c r="K45" s="49">
        <v>464529.35</v>
      </c>
      <c r="L45" s="49">
        <f t="shared" si="4"/>
        <v>237320.65000000002</v>
      </c>
      <c r="M45" s="53">
        <f t="shared" si="5"/>
        <v>0.12662153504276125</v>
      </c>
      <c r="O45" s="58"/>
    </row>
    <row r="46" spans="1:15">
      <c r="A46" s="24">
        <v>142</v>
      </c>
      <c r="B46" s="20" t="s">
        <v>22</v>
      </c>
      <c r="C46" s="33">
        <v>16000</v>
      </c>
      <c r="D46" s="33"/>
      <c r="E46" s="33"/>
      <c r="F46" s="33"/>
      <c r="G46" s="33"/>
      <c r="H46" s="33"/>
      <c r="I46" s="33"/>
      <c r="J46" s="33">
        <f t="shared" si="2"/>
        <v>16000</v>
      </c>
      <c r="K46" s="49">
        <v>9000</v>
      </c>
      <c r="L46" s="49">
        <f t="shared" si="4"/>
        <v>7000</v>
      </c>
      <c r="M46" s="53">
        <f t="shared" si="5"/>
        <v>2.4532224183140446E-3</v>
      </c>
      <c r="O46" s="58"/>
    </row>
    <row r="47" spans="1:15">
      <c r="A47" s="24">
        <v>143</v>
      </c>
      <c r="B47" s="20" t="s">
        <v>112</v>
      </c>
      <c r="C47" s="33">
        <v>27000</v>
      </c>
      <c r="D47" s="33"/>
      <c r="E47" s="33"/>
      <c r="F47" s="33">
        <v>18000</v>
      </c>
      <c r="G47" s="33"/>
      <c r="H47" s="33"/>
      <c r="I47" s="33"/>
      <c r="J47" s="33">
        <f t="shared" si="2"/>
        <v>45000</v>
      </c>
      <c r="K47" s="49">
        <v>31093.07</v>
      </c>
      <c r="L47" s="49">
        <f t="shared" si="4"/>
        <v>13906.93</v>
      </c>
      <c r="M47" s="53">
        <f t="shared" si="5"/>
        <v>8.4753573753564293E-3</v>
      </c>
      <c r="O47" s="58"/>
    </row>
    <row r="48" spans="1:15">
      <c r="A48" s="24">
        <v>151</v>
      </c>
      <c r="B48" s="20" t="s">
        <v>118</v>
      </c>
      <c r="C48" s="33">
        <v>70560</v>
      </c>
      <c r="D48" s="33"/>
      <c r="E48" s="33"/>
      <c r="F48" s="33"/>
      <c r="G48" s="33"/>
      <c r="H48" s="33"/>
      <c r="I48" s="33"/>
      <c r="J48" s="33">
        <f t="shared" si="2"/>
        <v>70560</v>
      </c>
      <c r="K48" s="49">
        <v>52920</v>
      </c>
      <c r="L48" s="49">
        <f t="shared" si="4"/>
        <v>17640</v>
      </c>
      <c r="M48" s="53">
        <f t="shared" si="5"/>
        <v>1.4424947819686581E-2</v>
      </c>
      <c r="O48" s="58"/>
    </row>
    <row r="49" spans="1:15" hidden="1">
      <c r="A49" s="24">
        <v>155</v>
      </c>
      <c r="B49" s="20" t="s">
        <v>33</v>
      </c>
      <c r="C49" s="33">
        <v>0</v>
      </c>
      <c r="D49" s="33"/>
      <c r="E49" s="33"/>
      <c r="F49" s="33"/>
      <c r="G49" s="33"/>
      <c r="H49" s="33"/>
      <c r="I49" s="33"/>
      <c r="J49" s="33">
        <f t="shared" si="2"/>
        <v>0</v>
      </c>
      <c r="K49" s="49">
        <v>0</v>
      </c>
      <c r="L49" s="49">
        <f t="shared" si="4"/>
        <v>0</v>
      </c>
      <c r="M49" s="53">
        <f t="shared" si="5"/>
        <v>0</v>
      </c>
      <c r="O49" s="58"/>
    </row>
    <row r="50" spans="1:15">
      <c r="A50" s="24">
        <v>158</v>
      </c>
      <c r="B50" s="20" t="s">
        <v>91</v>
      </c>
      <c r="C50" s="33">
        <v>6550</v>
      </c>
      <c r="D50" s="33"/>
      <c r="E50" s="33"/>
      <c r="F50" s="33"/>
      <c r="G50" s="33"/>
      <c r="H50" s="33"/>
      <c r="I50" s="33"/>
      <c r="J50" s="33">
        <f t="shared" si="2"/>
        <v>6550</v>
      </c>
      <c r="K50" s="49">
        <v>1416</v>
      </c>
      <c r="L50" s="49">
        <f t="shared" si="4"/>
        <v>5134</v>
      </c>
      <c r="M50" s="53">
        <f t="shared" si="5"/>
        <v>3.8597366048140965E-4</v>
      </c>
      <c r="O50" s="58"/>
    </row>
    <row r="51" spans="1:15">
      <c r="A51" s="24">
        <v>162</v>
      </c>
      <c r="B51" s="20" t="s">
        <v>53</v>
      </c>
      <c r="C51" s="33">
        <v>2000</v>
      </c>
      <c r="D51" s="33"/>
      <c r="E51" s="33"/>
      <c r="F51" s="33"/>
      <c r="G51" s="33"/>
      <c r="H51" s="33"/>
      <c r="I51" s="33"/>
      <c r="J51" s="33">
        <f t="shared" si="2"/>
        <v>2000</v>
      </c>
      <c r="K51" s="49">
        <v>350</v>
      </c>
      <c r="L51" s="49">
        <f t="shared" si="4"/>
        <v>1650</v>
      </c>
      <c r="M51" s="53">
        <f t="shared" si="5"/>
        <v>9.540309404554618E-5</v>
      </c>
      <c r="O51" s="58"/>
    </row>
    <row r="52" spans="1:15">
      <c r="A52" s="24">
        <v>164</v>
      </c>
      <c r="B52" s="20" t="s">
        <v>40</v>
      </c>
      <c r="C52" s="33">
        <v>20000</v>
      </c>
      <c r="D52" s="33"/>
      <c r="E52" s="33"/>
      <c r="F52" s="33"/>
      <c r="G52" s="33"/>
      <c r="H52" s="33"/>
      <c r="I52" s="33"/>
      <c r="J52" s="33">
        <f t="shared" si="2"/>
        <v>20000</v>
      </c>
      <c r="K52" s="49">
        <v>9950</v>
      </c>
      <c r="L52" s="49">
        <f t="shared" si="4"/>
        <v>10050</v>
      </c>
      <c r="M52" s="53">
        <f t="shared" si="5"/>
        <v>2.7121736735805269E-3</v>
      </c>
      <c r="O52" s="58"/>
    </row>
    <row r="53" spans="1:15">
      <c r="A53" s="24">
        <v>165</v>
      </c>
      <c r="B53" s="20" t="s">
        <v>92</v>
      </c>
      <c r="C53" s="33">
        <v>6900</v>
      </c>
      <c r="D53" s="33"/>
      <c r="E53" s="33"/>
      <c r="F53" s="33"/>
      <c r="G53" s="33"/>
      <c r="H53" s="33"/>
      <c r="I53" s="33"/>
      <c r="J53" s="33">
        <f t="shared" si="2"/>
        <v>6900</v>
      </c>
      <c r="K53" s="49">
        <v>2219.04</v>
      </c>
      <c r="L53" s="49">
        <f t="shared" si="4"/>
        <v>4680.96</v>
      </c>
      <c r="M53" s="53">
        <f t="shared" si="5"/>
        <v>6.048665194595108E-4</v>
      </c>
      <c r="O53" s="58"/>
    </row>
    <row r="54" spans="1:15">
      <c r="A54" s="24">
        <v>168</v>
      </c>
      <c r="B54" s="20" t="s">
        <v>54</v>
      </c>
      <c r="C54" s="33">
        <v>3000</v>
      </c>
      <c r="D54" s="33"/>
      <c r="E54" s="33"/>
      <c r="F54" s="33"/>
      <c r="G54" s="33"/>
      <c r="H54" s="33"/>
      <c r="I54" s="33"/>
      <c r="J54" s="33">
        <f t="shared" si="2"/>
        <v>3000</v>
      </c>
      <c r="K54" s="49">
        <v>1635</v>
      </c>
      <c r="L54" s="49">
        <f t="shared" si="4"/>
        <v>1365</v>
      </c>
      <c r="M54" s="53">
        <f t="shared" si="5"/>
        <v>4.4566873932705143E-4</v>
      </c>
      <c r="O54" s="58"/>
    </row>
    <row r="55" spans="1:15">
      <c r="A55" s="24">
        <v>174</v>
      </c>
      <c r="B55" s="20" t="s">
        <v>41</v>
      </c>
      <c r="C55" s="33">
        <v>5000</v>
      </c>
      <c r="D55" s="33"/>
      <c r="E55" s="33"/>
      <c r="F55" s="33"/>
      <c r="G55" s="33"/>
      <c r="H55" s="33"/>
      <c r="I55" s="33"/>
      <c r="J55" s="33">
        <f t="shared" si="2"/>
        <v>5000</v>
      </c>
      <c r="K55" s="49">
        <v>2947.37</v>
      </c>
      <c r="L55" s="49">
        <f t="shared" si="4"/>
        <v>2052.63</v>
      </c>
      <c r="M55" s="53">
        <f t="shared" si="5"/>
        <v>8.0339490656291829E-4</v>
      </c>
      <c r="O55" s="58"/>
    </row>
    <row r="56" spans="1:15">
      <c r="A56" s="24">
        <v>181</v>
      </c>
      <c r="B56" s="20" t="s">
        <v>139</v>
      </c>
      <c r="C56" s="33">
        <v>158000</v>
      </c>
      <c r="D56" s="33"/>
      <c r="E56" s="33"/>
      <c r="F56" s="33"/>
      <c r="G56" s="33"/>
      <c r="H56" s="33"/>
      <c r="I56" s="33"/>
      <c r="J56" s="33">
        <f t="shared" si="2"/>
        <v>158000</v>
      </c>
      <c r="K56" s="49">
        <v>0</v>
      </c>
      <c r="L56" s="49">
        <f t="shared" si="4"/>
        <v>158000</v>
      </c>
      <c r="M56" s="53">
        <f t="shared" si="5"/>
        <v>0</v>
      </c>
      <c r="O56" s="58"/>
    </row>
    <row r="57" spans="1:15" hidden="1">
      <c r="A57" s="24">
        <v>182</v>
      </c>
      <c r="B57" s="20" t="s">
        <v>56</v>
      </c>
      <c r="C57" s="33">
        <v>0</v>
      </c>
      <c r="D57" s="33"/>
      <c r="E57" s="33"/>
      <c r="F57" s="33"/>
      <c r="G57" s="33"/>
      <c r="H57" s="33"/>
      <c r="I57" s="33"/>
      <c r="J57" s="33">
        <f t="shared" si="2"/>
        <v>0</v>
      </c>
      <c r="K57" s="49">
        <v>0</v>
      </c>
      <c r="L57" s="49">
        <f t="shared" si="4"/>
        <v>0</v>
      </c>
      <c r="M57" s="53">
        <f t="shared" si="5"/>
        <v>0</v>
      </c>
      <c r="O57" s="58"/>
    </row>
    <row r="58" spans="1:15">
      <c r="A58" s="24">
        <v>183</v>
      </c>
      <c r="B58" s="20" t="s">
        <v>93</v>
      </c>
      <c r="C58" s="33">
        <v>85000</v>
      </c>
      <c r="D58" s="33"/>
      <c r="E58" s="33"/>
      <c r="F58" s="33"/>
      <c r="G58" s="33">
        <v>51000</v>
      </c>
      <c r="H58" s="33"/>
      <c r="I58" s="33"/>
      <c r="J58" s="33">
        <f t="shared" si="2"/>
        <v>34000</v>
      </c>
      <c r="K58" s="49">
        <v>14575</v>
      </c>
      <c r="L58" s="49">
        <f t="shared" si="4"/>
        <v>19425</v>
      </c>
      <c r="M58" s="53">
        <f t="shared" si="5"/>
        <v>3.972857416325244E-3</v>
      </c>
      <c r="O58" s="58"/>
    </row>
    <row r="59" spans="1:15">
      <c r="A59" s="24">
        <v>184</v>
      </c>
      <c r="B59" s="20" t="s">
        <v>94</v>
      </c>
      <c r="C59" s="33">
        <v>50000</v>
      </c>
      <c r="D59" s="33"/>
      <c r="E59" s="33"/>
      <c r="F59" s="33"/>
      <c r="G59" s="33"/>
      <c r="H59" s="33"/>
      <c r="I59" s="33"/>
      <c r="J59" s="33">
        <f t="shared" si="2"/>
        <v>50000</v>
      </c>
      <c r="K59" s="49">
        <v>36000</v>
      </c>
      <c r="L59" s="49">
        <f t="shared" si="4"/>
        <v>14000</v>
      </c>
      <c r="M59" s="53">
        <f t="shared" si="5"/>
        <v>9.8128896732561782E-3</v>
      </c>
      <c r="O59" s="58"/>
    </row>
    <row r="60" spans="1:15">
      <c r="A60" s="24">
        <v>185</v>
      </c>
      <c r="B60" s="20" t="s">
        <v>95</v>
      </c>
      <c r="C60" s="33">
        <v>15000</v>
      </c>
      <c r="D60" s="33"/>
      <c r="E60" s="33"/>
      <c r="F60" s="33"/>
      <c r="G60" s="33">
        <v>8500</v>
      </c>
      <c r="H60" s="33"/>
      <c r="I60" s="33"/>
      <c r="J60" s="33">
        <f t="shared" si="2"/>
        <v>6500</v>
      </c>
      <c r="K60" s="49">
        <v>3762</v>
      </c>
      <c r="L60" s="49">
        <f t="shared" si="4"/>
        <v>2738</v>
      </c>
      <c r="M60" s="53">
        <f t="shared" si="5"/>
        <v>1.0254469708552707E-3</v>
      </c>
      <c r="O60" s="58"/>
    </row>
    <row r="61" spans="1:15">
      <c r="A61" s="24">
        <v>186</v>
      </c>
      <c r="B61" s="20" t="s">
        <v>42</v>
      </c>
      <c r="C61" s="33">
        <v>2000</v>
      </c>
      <c r="D61" s="33"/>
      <c r="E61" s="33"/>
      <c r="F61" s="33">
        <v>84700</v>
      </c>
      <c r="G61" s="33"/>
      <c r="H61" s="33"/>
      <c r="I61" s="33"/>
      <c r="J61" s="33">
        <f t="shared" si="2"/>
        <v>86700</v>
      </c>
      <c r="K61" s="49">
        <v>26465</v>
      </c>
      <c r="L61" s="49">
        <f t="shared" si="4"/>
        <v>60235</v>
      </c>
      <c r="M61" s="53">
        <f t="shared" si="5"/>
        <v>7.2138368111867987E-3</v>
      </c>
      <c r="O61" s="58"/>
    </row>
    <row r="62" spans="1:15">
      <c r="A62" s="24">
        <v>187</v>
      </c>
      <c r="B62" s="20" t="s">
        <v>96</v>
      </c>
      <c r="C62" s="33">
        <v>20000</v>
      </c>
      <c r="D62" s="33"/>
      <c r="E62" s="33"/>
      <c r="F62" s="33"/>
      <c r="G62" s="33"/>
      <c r="H62" s="33"/>
      <c r="I62" s="33"/>
      <c r="J62" s="33">
        <f t="shared" si="2"/>
        <v>20000</v>
      </c>
      <c r="K62" s="49">
        <v>5500</v>
      </c>
      <c r="L62" s="49">
        <f t="shared" si="4"/>
        <v>14500</v>
      </c>
      <c r="M62" s="53">
        <f t="shared" si="5"/>
        <v>1.4991914778585828E-3</v>
      </c>
      <c r="O62" s="58"/>
    </row>
    <row r="63" spans="1:15">
      <c r="A63" s="24">
        <v>188</v>
      </c>
      <c r="B63" s="20" t="s">
        <v>97</v>
      </c>
      <c r="C63" s="33">
        <v>60000</v>
      </c>
      <c r="D63" s="33"/>
      <c r="E63" s="33"/>
      <c r="F63" s="33"/>
      <c r="G63" s="33"/>
      <c r="H63" s="33"/>
      <c r="I63" s="33"/>
      <c r="J63" s="33">
        <f t="shared" si="2"/>
        <v>60000</v>
      </c>
      <c r="K63" s="49">
        <v>0</v>
      </c>
      <c r="L63" s="49">
        <f t="shared" si="4"/>
        <v>60000</v>
      </c>
      <c r="M63" s="53">
        <f t="shared" si="5"/>
        <v>0</v>
      </c>
      <c r="O63" s="58"/>
    </row>
    <row r="64" spans="1:15">
      <c r="A64" s="24">
        <v>189</v>
      </c>
      <c r="B64" s="20" t="s">
        <v>98</v>
      </c>
      <c r="C64" s="33">
        <v>285000</v>
      </c>
      <c r="D64" s="33"/>
      <c r="E64" s="33">
        <v>50000</v>
      </c>
      <c r="F64" s="33"/>
      <c r="G64" s="33"/>
      <c r="H64" s="33"/>
      <c r="I64" s="33"/>
      <c r="J64" s="33">
        <f t="shared" si="2"/>
        <v>235000</v>
      </c>
      <c r="K64" s="49">
        <v>165360</v>
      </c>
      <c r="L64" s="49">
        <f t="shared" si="4"/>
        <v>69640</v>
      </c>
      <c r="M64" s="53">
        <f t="shared" si="5"/>
        <v>4.5073873232490042E-2</v>
      </c>
      <c r="O64" s="58"/>
    </row>
    <row r="65" spans="1:16">
      <c r="A65" s="24">
        <v>191</v>
      </c>
      <c r="B65" s="20" t="s">
        <v>99</v>
      </c>
      <c r="C65" s="33">
        <v>11250</v>
      </c>
      <c r="D65" s="33"/>
      <c r="E65" s="33"/>
      <c r="F65" s="76"/>
      <c r="G65" s="33"/>
      <c r="H65" s="33"/>
      <c r="I65" s="33"/>
      <c r="J65" s="33">
        <f t="shared" si="2"/>
        <v>11250</v>
      </c>
      <c r="K65" s="49">
        <v>7321.78</v>
      </c>
      <c r="L65" s="49">
        <f t="shared" si="4"/>
        <v>3928.2200000000003</v>
      </c>
      <c r="M65" s="53">
        <f t="shared" si="5"/>
        <v>1.9957727597737117E-3</v>
      </c>
      <c r="O65" s="58"/>
    </row>
    <row r="66" spans="1:16">
      <c r="A66" s="24">
        <v>194</v>
      </c>
      <c r="B66" s="20" t="s">
        <v>148</v>
      </c>
      <c r="C66" s="33">
        <v>5000</v>
      </c>
      <c r="D66" s="33"/>
      <c r="E66" s="33"/>
      <c r="F66" s="33"/>
      <c r="G66" s="33"/>
      <c r="H66" s="33"/>
      <c r="I66" s="33"/>
      <c r="J66" s="33">
        <f t="shared" si="2"/>
        <v>5000</v>
      </c>
      <c r="K66" s="49">
        <v>2161.54</v>
      </c>
      <c r="L66" s="49">
        <f t="shared" si="4"/>
        <v>2838.46</v>
      </c>
      <c r="M66" s="53">
        <f t="shared" si="5"/>
        <v>5.8919315400917109E-4</v>
      </c>
      <c r="O66" s="58"/>
    </row>
    <row r="67" spans="1:16">
      <c r="A67" s="24">
        <v>195</v>
      </c>
      <c r="B67" s="20" t="s">
        <v>34</v>
      </c>
      <c r="C67" s="33">
        <v>10000</v>
      </c>
      <c r="D67" s="33"/>
      <c r="E67" s="33"/>
      <c r="F67" s="33">
        <v>9500</v>
      </c>
      <c r="G67" s="33"/>
      <c r="H67" s="33"/>
      <c r="I67" s="33"/>
      <c r="J67" s="33">
        <f t="shared" si="2"/>
        <v>19500</v>
      </c>
      <c r="K67" s="49">
        <v>15837.43</v>
      </c>
      <c r="L67" s="49">
        <f t="shared" si="4"/>
        <v>3662.5699999999997</v>
      </c>
      <c r="M67" s="53">
        <f t="shared" si="5"/>
        <v>4.3169709249421557E-3</v>
      </c>
      <c r="O67" s="58"/>
    </row>
    <row r="68" spans="1:16">
      <c r="A68" s="24">
        <v>196</v>
      </c>
      <c r="B68" s="20" t="s">
        <v>100</v>
      </c>
      <c r="C68" s="33">
        <v>20000</v>
      </c>
      <c r="D68" s="33"/>
      <c r="E68" s="33"/>
      <c r="F68" s="33"/>
      <c r="G68" s="33">
        <v>20000</v>
      </c>
      <c r="H68" s="33"/>
      <c r="I68" s="33"/>
      <c r="J68" s="33">
        <f t="shared" si="2"/>
        <v>0</v>
      </c>
      <c r="K68" s="49">
        <v>0</v>
      </c>
      <c r="L68" s="49">
        <f t="shared" si="4"/>
        <v>0</v>
      </c>
      <c r="M68" s="53">
        <f t="shared" si="5"/>
        <v>0</v>
      </c>
      <c r="O68" s="58"/>
    </row>
    <row r="69" spans="1:16">
      <c r="A69" s="24">
        <v>199</v>
      </c>
      <c r="B69" s="20" t="s">
        <v>55</v>
      </c>
      <c r="C69" s="33">
        <v>25000</v>
      </c>
      <c r="D69" s="33"/>
      <c r="E69" s="33"/>
      <c r="F69" s="33"/>
      <c r="G69" s="33"/>
      <c r="H69" s="33"/>
      <c r="I69" s="33"/>
      <c r="J69" s="33">
        <f t="shared" si="2"/>
        <v>25000</v>
      </c>
      <c r="K69" s="49">
        <v>19224.939999999999</v>
      </c>
      <c r="L69" s="49">
        <f t="shared" si="4"/>
        <v>5775.0600000000013</v>
      </c>
      <c r="M69" s="53">
        <f t="shared" si="5"/>
        <v>5.2403393109713781E-3</v>
      </c>
      <c r="O69" s="58"/>
    </row>
    <row r="70" spans="1:16">
      <c r="A70" s="24"/>
      <c r="B70" s="20"/>
      <c r="C70" s="33"/>
      <c r="D70" s="33"/>
      <c r="E70" s="33"/>
      <c r="F70" s="33"/>
      <c r="G70" s="33"/>
      <c r="H70" s="33"/>
      <c r="I70" s="33"/>
      <c r="J70" s="33"/>
      <c r="K70" s="81"/>
      <c r="L70" s="49"/>
      <c r="M70" s="53"/>
      <c r="O70" s="58"/>
    </row>
    <row r="71" spans="1:16">
      <c r="A71" s="23">
        <v>2</v>
      </c>
      <c r="B71" s="23" t="s">
        <v>11</v>
      </c>
      <c r="C71" s="33"/>
      <c r="D71" s="33"/>
      <c r="E71" s="33"/>
      <c r="F71" s="33"/>
      <c r="G71" s="33"/>
      <c r="H71" s="33"/>
      <c r="I71" s="33"/>
      <c r="J71" s="33"/>
      <c r="K71" s="83"/>
      <c r="L71" s="49"/>
      <c r="M71" s="53"/>
      <c r="O71" s="58"/>
    </row>
    <row r="72" spans="1:16">
      <c r="A72" s="24">
        <v>211</v>
      </c>
      <c r="B72" s="20" t="s">
        <v>23</v>
      </c>
      <c r="C72" s="33">
        <v>111400</v>
      </c>
      <c r="D72" s="33"/>
      <c r="E72" s="33"/>
      <c r="F72" s="33"/>
      <c r="G72" s="33">
        <v>25000</v>
      </c>
      <c r="H72" s="33"/>
      <c r="I72" s="33"/>
      <c r="J72" s="33">
        <f t="shared" ref="J72:J97" si="6">C72+D72-E72+F72-G72+H72-I72</f>
        <v>86400</v>
      </c>
      <c r="K72" s="49">
        <v>44676.65</v>
      </c>
      <c r="L72" s="49">
        <f t="shared" ref="L72:L97" si="7">J72-K72</f>
        <v>41723.35</v>
      </c>
      <c r="M72" s="53">
        <f t="shared" ref="M72:M97" si="8">K72/$K$114</f>
        <v>1.2177973261685574E-2</v>
      </c>
      <c r="O72" s="58"/>
    </row>
    <row r="73" spans="1:16" hidden="1">
      <c r="A73" s="24">
        <v>219</v>
      </c>
      <c r="B73" s="20" t="s">
        <v>24</v>
      </c>
      <c r="C73" s="33">
        <v>0</v>
      </c>
      <c r="D73" s="33"/>
      <c r="E73" s="33"/>
      <c r="F73" s="33"/>
      <c r="G73" s="33"/>
      <c r="H73" s="33"/>
      <c r="I73" s="33"/>
      <c r="J73" s="33">
        <f t="shared" si="6"/>
        <v>0</v>
      </c>
      <c r="K73" s="49"/>
      <c r="L73" s="49">
        <f t="shared" si="7"/>
        <v>0</v>
      </c>
      <c r="M73" s="53">
        <f t="shared" si="8"/>
        <v>0</v>
      </c>
      <c r="O73" s="58"/>
    </row>
    <row r="74" spans="1:16">
      <c r="A74" s="24">
        <v>232</v>
      </c>
      <c r="B74" s="20" t="s">
        <v>57</v>
      </c>
      <c r="C74" s="33">
        <v>1080</v>
      </c>
      <c r="D74" s="33"/>
      <c r="E74" s="33"/>
      <c r="F74" s="33"/>
      <c r="G74" s="33"/>
      <c r="H74" s="33"/>
      <c r="I74" s="33"/>
      <c r="J74" s="33">
        <f t="shared" si="6"/>
        <v>1080</v>
      </c>
      <c r="K74" s="49">
        <v>975</v>
      </c>
      <c r="L74" s="49">
        <f t="shared" si="7"/>
        <v>105</v>
      </c>
      <c r="M74" s="53">
        <f t="shared" si="8"/>
        <v>2.6576576198402151E-4</v>
      </c>
      <c r="O74" s="58"/>
    </row>
    <row r="75" spans="1:16">
      <c r="A75" s="24">
        <v>233</v>
      </c>
      <c r="B75" s="20" t="s">
        <v>70</v>
      </c>
      <c r="C75" s="33">
        <v>58000</v>
      </c>
      <c r="D75" s="33"/>
      <c r="E75" s="33"/>
      <c r="F75" s="33"/>
      <c r="G75" s="33">
        <v>40000</v>
      </c>
      <c r="H75" s="33"/>
      <c r="I75" s="33"/>
      <c r="J75" s="33">
        <f t="shared" si="6"/>
        <v>18000</v>
      </c>
      <c r="K75" s="49">
        <v>14353</v>
      </c>
      <c r="L75" s="49">
        <f t="shared" si="7"/>
        <v>3647</v>
      </c>
      <c r="M75" s="53">
        <f t="shared" si="8"/>
        <v>3.9123445966734978E-3</v>
      </c>
      <c r="O75" s="58"/>
      <c r="P75" s="87"/>
    </row>
    <row r="76" spans="1:16">
      <c r="A76" s="24">
        <v>241</v>
      </c>
      <c r="B76" s="20" t="s">
        <v>58</v>
      </c>
      <c r="C76" s="33">
        <v>6000</v>
      </c>
      <c r="D76" s="33"/>
      <c r="E76" s="33"/>
      <c r="F76" s="33"/>
      <c r="G76" s="33"/>
      <c r="H76" s="33"/>
      <c r="I76" s="33"/>
      <c r="J76" s="33">
        <f t="shared" si="6"/>
        <v>6000</v>
      </c>
      <c r="K76" s="49">
        <v>1891.4</v>
      </c>
      <c r="L76" s="49">
        <f t="shared" si="7"/>
        <v>4108.6000000000004</v>
      </c>
      <c r="M76" s="53">
        <f t="shared" si="8"/>
        <v>5.1555832022213153E-4</v>
      </c>
      <c r="O76" s="58"/>
      <c r="P76" s="87"/>
    </row>
    <row r="77" spans="1:16">
      <c r="A77" s="24">
        <v>243</v>
      </c>
      <c r="B77" s="20" t="s">
        <v>43</v>
      </c>
      <c r="C77" s="33">
        <v>1100</v>
      </c>
      <c r="D77" s="33"/>
      <c r="E77" s="33"/>
      <c r="F77" s="33"/>
      <c r="G77" s="33"/>
      <c r="H77" s="33"/>
      <c r="I77" s="33"/>
      <c r="J77" s="33">
        <f t="shared" si="6"/>
        <v>1100</v>
      </c>
      <c r="K77" s="49">
        <v>449.04999999999995</v>
      </c>
      <c r="L77" s="49">
        <f t="shared" si="7"/>
        <v>650.95000000000005</v>
      </c>
      <c r="M77" s="53">
        <f t="shared" si="8"/>
        <v>1.2240216966043574E-4</v>
      </c>
      <c r="O77" s="58"/>
    </row>
    <row r="78" spans="1:16">
      <c r="A78" s="24">
        <v>244</v>
      </c>
      <c r="B78" s="20" t="s">
        <v>44</v>
      </c>
      <c r="C78" s="33">
        <v>2255</v>
      </c>
      <c r="D78" s="33"/>
      <c r="E78" s="33"/>
      <c r="F78" s="33"/>
      <c r="G78" s="33"/>
      <c r="H78" s="33"/>
      <c r="I78" s="33"/>
      <c r="J78" s="33">
        <f t="shared" si="6"/>
        <v>2255</v>
      </c>
      <c r="K78" s="49">
        <v>982.9</v>
      </c>
      <c r="L78" s="49">
        <f t="shared" si="7"/>
        <v>1272.0999999999999</v>
      </c>
      <c r="M78" s="53">
        <f t="shared" si="8"/>
        <v>2.6791914610676382E-4</v>
      </c>
      <c r="O78" s="58"/>
    </row>
    <row r="79" spans="1:16">
      <c r="A79" s="24">
        <v>245</v>
      </c>
      <c r="B79" s="20" t="s">
        <v>45</v>
      </c>
      <c r="C79" s="33">
        <v>1300</v>
      </c>
      <c r="D79" s="33"/>
      <c r="E79" s="33"/>
      <c r="F79" s="33"/>
      <c r="G79" s="33"/>
      <c r="H79" s="33"/>
      <c r="I79" s="33"/>
      <c r="J79" s="33">
        <f t="shared" si="6"/>
        <v>1300</v>
      </c>
      <c r="K79" s="49">
        <v>0</v>
      </c>
      <c r="L79" s="49">
        <f t="shared" si="7"/>
        <v>1300</v>
      </c>
      <c r="M79" s="53">
        <f t="shared" si="8"/>
        <v>0</v>
      </c>
      <c r="O79" s="58"/>
    </row>
    <row r="80" spans="1:16">
      <c r="A80" s="24">
        <v>253</v>
      </c>
      <c r="B80" s="20" t="s">
        <v>37</v>
      </c>
      <c r="C80" s="33">
        <v>7500</v>
      </c>
      <c r="D80" s="33"/>
      <c r="E80" s="33"/>
      <c r="F80" s="33"/>
      <c r="G80" s="33"/>
      <c r="H80" s="33"/>
      <c r="I80" s="33"/>
      <c r="J80" s="33">
        <f t="shared" si="6"/>
        <v>7500</v>
      </c>
      <c r="K80" s="49">
        <v>0</v>
      </c>
      <c r="L80" s="49">
        <f t="shared" si="7"/>
        <v>7500</v>
      </c>
      <c r="M80" s="53">
        <f t="shared" si="8"/>
        <v>0</v>
      </c>
      <c r="O80" s="58"/>
    </row>
    <row r="81" spans="1:15">
      <c r="A81" s="24">
        <v>254</v>
      </c>
      <c r="B81" s="20" t="s">
        <v>46</v>
      </c>
      <c r="C81" s="33">
        <v>750</v>
      </c>
      <c r="D81" s="33"/>
      <c r="E81" s="33"/>
      <c r="F81" s="33"/>
      <c r="G81" s="33"/>
      <c r="H81" s="33"/>
      <c r="I81" s="33"/>
      <c r="J81" s="33">
        <f t="shared" si="6"/>
        <v>750</v>
      </c>
      <c r="K81" s="49">
        <v>270</v>
      </c>
      <c r="L81" s="49">
        <f t="shared" si="7"/>
        <v>480</v>
      </c>
      <c r="M81" s="53">
        <f t="shared" si="8"/>
        <v>7.3596672549421338E-5</v>
      </c>
      <c r="O81" s="58"/>
    </row>
    <row r="82" spans="1:15">
      <c r="A82" s="24">
        <v>262</v>
      </c>
      <c r="B82" s="20" t="s">
        <v>59</v>
      </c>
      <c r="C82" s="33">
        <v>9770</v>
      </c>
      <c r="D82" s="33"/>
      <c r="E82" s="33"/>
      <c r="F82" s="33"/>
      <c r="G82" s="33"/>
      <c r="H82" s="33"/>
      <c r="I82" s="33"/>
      <c r="J82" s="33">
        <f t="shared" si="6"/>
        <v>9770</v>
      </c>
      <c r="K82" s="49">
        <v>7221.96</v>
      </c>
      <c r="L82" s="49">
        <f t="shared" si="7"/>
        <v>2548.04</v>
      </c>
      <c r="M82" s="53">
        <f t="shared" si="8"/>
        <v>1.9685637973519219E-3</v>
      </c>
      <c r="O82" s="58"/>
    </row>
    <row r="83" spans="1:15">
      <c r="A83" s="24">
        <v>266</v>
      </c>
      <c r="B83" s="20" t="s">
        <v>60</v>
      </c>
      <c r="C83" s="33">
        <v>600</v>
      </c>
      <c r="D83" s="33">
        <v>1250</v>
      </c>
      <c r="E83" s="33"/>
      <c r="F83" s="33"/>
      <c r="G83" s="33"/>
      <c r="H83" s="33"/>
      <c r="I83" s="33"/>
      <c r="J83" s="33">
        <f t="shared" si="6"/>
        <v>1850</v>
      </c>
      <c r="K83" s="49">
        <v>1389.7599999999998</v>
      </c>
      <c r="L83" s="49">
        <f t="shared" si="7"/>
        <v>460.24000000000024</v>
      </c>
      <c r="M83" s="53">
        <f t="shared" si="8"/>
        <v>3.7882115423068063E-4</v>
      </c>
      <c r="O83" s="58"/>
    </row>
    <row r="84" spans="1:15">
      <c r="A84" s="24">
        <v>267</v>
      </c>
      <c r="B84" s="20" t="s">
        <v>86</v>
      </c>
      <c r="C84" s="33">
        <v>22000</v>
      </c>
      <c r="D84" s="33"/>
      <c r="E84" s="33"/>
      <c r="F84" s="33"/>
      <c r="G84" s="33"/>
      <c r="H84" s="33"/>
      <c r="I84" s="33"/>
      <c r="J84" s="33">
        <f t="shared" si="6"/>
        <v>22000</v>
      </c>
      <c r="K84" s="49">
        <v>12112.25</v>
      </c>
      <c r="L84" s="49">
        <f t="shared" si="7"/>
        <v>9887.75</v>
      </c>
      <c r="M84" s="53">
        <f t="shared" si="8"/>
        <v>3.3015603595804763E-3</v>
      </c>
      <c r="O84" s="58"/>
    </row>
    <row r="85" spans="1:15">
      <c r="A85" s="24">
        <v>268</v>
      </c>
      <c r="B85" s="20" t="s">
        <v>61</v>
      </c>
      <c r="C85" s="33">
        <v>794</v>
      </c>
      <c r="D85" s="33">
        <v>1000</v>
      </c>
      <c r="E85" s="33"/>
      <c r="F85" s="33"/>
      <c r="G85" s="33"/>
      <c r="H85" s="33"/>
      <c r="I85" s="33"/>
      <c r="J85" s="33">
        <f t="shared" si="6"/>
        <v>1794</v>
      </c>
      <c r="K85" s="49">
        <v>748.05000000000018</v>
      </c>
      <c r="L85" s="49">
        <f t="shared" si="7"/>
        <v>1045.9499999999998</v>
      </c>
      <c r="M85" s="53">
        <f t="shared" si="8"/>
        <v>2.0390367000220239E-4</v>
      </c>
      <c r="O85" s="58"/>
    </row>
    <row r="86" spans="1:15">
      <c r="A86" s="24">
        <v>269</v>
      </c>
      <c r="B86" s="20" t="s">
        <v>62</v>
      </c>
      <c r="C86" s="33">
        <v>500</v>
      </c>
      <c r="D86" s="33">
        <v>750</v>
      </c>
      <c r="E86" s="33"/>
      <c r="F86" s="33"/>
      <c r="G86" s="33"/>
      <c r="H86" s="33"/>
      <c r="I86" s="33"/>
      <c r="J86" s="33">
        <f t="shared" si="6"/>
        <v>1250</v>
      </c>
      <c r="K86" s="49">
        <v>450</v>
      </c>
      <c r="L86" s="49">
        <f t="shared" si="7"/>
        <v>800</v>
      </c>
      <c r="M86" s="53">
        <f t="shared" si="8"/>
        <v>1.2266112091570224E-4</v>
      </c>
      <c r="O86" s="58"/>
    </row>
    <row r="87" spans="1:15">
      <c r="A87" s="24">
        <v>271</v>
      </c>
      <c r="B87" s="20" t="s">
        <v>63</v>
      </c>
      <c r="C87" s="33">
        <v>160800</v>
      </c>
      <c r="D87" s="33"/>
      <c r="E87" s="33"/>
      <c r="F87" s="33"/>
      <c r="G87" s="33">
        <v>7700</v>
      </c>
      <c r="H87" s="33"/>
      <c r="I87" s="33"/>
      <c r="J87" s="33">
        <f t="shared" si="6"/>
        <v>153100</v>
      </c>
      <c r="K87" s="49">
        <v>152689.19</v>
      </c>
      <c r="L87" s="49">
        <f t="shared" si="7"/>
        <v>410.80999999999767</v>
      </c>
      <c r="M87" s="53">
        <f t="shared" si="8"/>
        <v>4.1620060438023625E-2</v>
      </c>
      <c r="O87" s="58"/>
    </row>
    <row r="88" spans="1:15">
      <c r="A88" s="24">
        <v>283</v>
      </c>
      <c r="B88" s="20" t="s">
        <v>64</v>
      </c>
      <c r="C88" s="33">
        <v>1000</v>
      </c>
      <c r="D88" s="33"/>
      <c r="E88" s="33"/>
      <c r="F88" s="33"/>
      <c r="G88" s="33"/>
      <c r="H88" s="33"/>
      <c r="I88" s="33"/>
      <c r="J88" s="33">
        <f t="shared" si="6"/>
        <v>1000</v>
      </c>
      <c r="K88" s="49">
        <v>384.32</v>
      </c>
      <c r="L88" s="49">
        <f t="shared" si="7"/>
        <v>615.68000000000006</v>
      </c>
      <c r="M88" s="53">
        <f t="shared" si="8"/>
        <v>1.0475804886738373E-4</v>
      </c>
      <c r="O88" s="58"/>
    </row>
    <row r="89" spans="1:15">
      <c r="A89" s="24">
        <v>284</v>
      </c>
      <c r="B89" s="20" t="s">
        <v>47</v>
      </c>
      <c r="C89" s="33">
        <v>7500</v>
      </c>
      <c r="D89" s="33"/>
      <c r="E89" s="33"/>
      <c r="F89" s="33"/>
      <c r="G89" s="33"/>
      <c r="H89" s="33"/>
      <c r="I89" s="33"/>
      <c r="J89" s="33">
        <f t="shared" si="6"/>
        <v>7500</v>
      </c>
      <c r="K89" s="49">
        <v>0</v>
      </c>
      <c r="L89" s="49">
        <f t="shared" si="7"/>
        <v>7500</v>
      </c>
      <c r="M89" s="53">
        <f t="shared" si="8"/>
        <v>0</v>
      </c>
      <c r="O89" s="58"/>
    </row>
    <row r="90" spans="1:15">
      <c r="A90" s="24">
        <v>285</v>
      </c>
      <c r="B90" s="20" t="s">
        <v>113</v>
      </c>
      <c r="C90" s="33">
        <v>807000</v>
      </c>
      <c r="D90" s="33"/>
      <c r="E90" s="33"/>
      <c r="F90" s="33">
        <v>50000</v>
      </c>
      <c r="G90" s="33"/>
      <c r="H90" s="33"/>
      <c r="I90" s="33"/>
      <c r="J90" s="33">
        <f t="shared" si="6"/>
        <v>857000</v>
      </c>
      <c r="K90" s="49">
        <v>0</v>
      </c>
      <c r="L90" s="49">
        <f t="shared" si="7"/>
        <v>857000</v>
      </c>
      <c r="M90" s="53">
        <f t="shared" si="8"/>
        <v>0</v>
      </c>
      <c r="O90" s="58"/>
    </row>
    <row r="91" spans="1:15">
      <c r="A91" s="24">
        <v>291</v>
      </c>
      <c r="B91" s="20" t="s">
        <v>65</v>
      </c>
      <c r="C91" s="33">
        <v>9000</v>
      </c>
      <c r="D91" s="33"/>
      <c r="E91" s="33"/>
      <c r="F91" s="33"/>
      <c r="G91" s="33"/>
      <c r="H91" s="33"/>
      <c r="I91" s="33"/>
      <c r="J91" s="33">
        <f t="shared" si="6"/>
        <v>9000</v>
      </c>
      <c r="K91" s="49">
        <v>2643.44</v>
      </c>
      <c r="L91" s="49">
        <f t="shared" si="7"/>
        <v>6356.5599999999995</v>
      </c>
      <c r="M91" s="53">
        <f t="shared" si="8"/>
        <v>7.2054958549645309E-4</v>
      </c>
      <c r="O91" s="58"/>
    </row>
    <row r="92" spans="1:15">
      <c r="A92" s="24">
        <v>292</v>
      </c>
      <c r="B92" s="20" t="s">
        <v>66</v>
      </c>
      <c r="C92" s="33">
        <v>1800</v>
      </c>
      <c r="D92" s="33"/>
      <c r="E92" s="33"/>
      <c r="F92" s="33"/>
      <c r="G92" s="33"/>
      <c r="H92" s="33"/>
      <c r="I92" s="33"/>
      <c r="J92" s="33">
        <f t="shared" si="6"/>
        <v>1800</v>
      </c>
      <c r="K92" s="49">
        <v>1088.5</v>
      </c>
      <c r="L92" s="49">
        <f t="shared" si="7"/>
        <v>711.5</v>
      </c>
      <c r="M92" s="53">
        <f t="shared" si="8"/>
        <v>2.9670362248164863E-4</v>
      </c>
      <c r="O92" s="58"/>
    </row>
    <row r="93" spans="1:15">
      <c r="A93" s="24">
        <v>294</v>
      </c>
      <c r="B93" s="20" t="s">
        <v>67</v>
      </c>
      <c r="C93" s="33">
        <v>140250</v>
      </c>
      <c r="D93" s="43"/>
      <c r="E93" s="43"/>
      <c r="F93" s="33"/>
      <c r="G93" s="33"/>
      <c r="H93" s="33"/>
      <c r="I93" s="33"/>
      <c r="J93" s="33">
        <f t="shared" si="6"/>
        <v>140250</v>
      </c>
      <c r="K93" s="49">
        <v>83534.64</v>
      </c>
      <c r="L93" s="49">
        <f t="shared" si="7"/>
        <v>56715.360000000001</v>
      </c>
      <c r="M93" s="53">
        <f t="shared" si="8"/>
        <v>2.2769894617088123E-2</v>
      </c>
      <c r="O93" s="58"/>
    </row>
    <row r="94" spans="1:15">
      <c r="A94" s="24">
        <v>296</v>
      </c>
      <c r="B94" s="20" t="s">
        <v>180</v>
      </c>
      <c r="C94" s="33">
        <v>500</v>
      </c>
      <c r="D94" s="33"/>
      <c r="E94" s="33"/>
      <c r="F94" s="33"/>
      <c r="G94" s="33"/>
      <c r="H94" s="33"/>
      <c r="I94" s="33"/>
      <c r="J94" s="33">
        <f t="shared" si="6"/>
        <v>500</v>
      </c>
      <c r="K94" s="49">
        <v>0</v>
      </c>
      <c r="L94" s="49">
        <f t="shared" si="7"/>
        <v>500</v>
      </c>
      <c r="M94" s="53">
        <f t="shared" si="8"/>
        <v>0</v>
      </c>
      <c r="O94" s="58"/>
    </row>
    <row r="95" spans="1:15">
      <c r="A95" s="24">
        <v>297</v>
      </c>
      <c r="B95" s="20" t="s">
        <v>68</v>
      </c>
      <c r="C95" s="33">
        <v>1000</v>
      </c>
      <c r="D95" s="33"/>
      <c r="E95" s="33"/>
      <c r="F95" s="33"/>
      <c r="G95" s="33"/>
      <c r="H95" s="33"/>
      <c r="I95" s="33"/>
      <c r="J95" s="33">
        <f t="shared" si="6"/>
        <v>1000</v>
      </c>
      <c r="K95" s="49">
        <v>530.17999999999995</v>
      </c>
      <c r="L95" s="49">
        <f t="shared" si="7"/>
        <v>469.82000000000005</v>
      </c>
      <c r="M95" s="53">
        <f t="shared" si="8"/>
        <v>1.4451660686019333E-4</v>
      </c>
      <c r="O95" s="58"/>
    </row>
    <row r="96" spans="1:15">
      <c r="A96" s="24">
        <v>298</v>
      </c>
      <c r="B96" s="20" t="s">
        <v>25</v>
      </c>
      <c r="C96" s="33">
        <v>85460</v>
      </c>
      <c r="D96" s="43"/>
      <c r="E96" s="43">
        <v>20000</v>
      </c>
      <c r="F96" s="33"/>
      <c r="G96" s="33">
        <v>25000</v>
      </c>
      <c r="H96" s="33"/>
      <c r="I96" s="33"/>
      <c r="J96" s="33">
        <f t="shared" si="6"/>
        <v>40460</v>
      </c>
      <c r="K96" s="49">
        <v>10517.43</v>
      </c>
      <c r="L96" s="49">
        <f t="shared" si="7"/>
        <v>29942.57</v>
      </c>
      <c r="M96" s="53">
        <f t="shared" si="8"/>
        <v>2.8668438954498536E-3</v>
      </c>
      <c r="O96" s="58"/>
    </row>
    <row r="97" spans="1:15">
      <c r="A97" s="24">
        <v>299</v>
      </c>
      <c r="B97" s="20" t="s">
        <v>69</v>
      </c>
      <c r="C97" s="33">
        <v>12000</v>
      </c>
      <c r="D97" s="43"/>
      <c r="E97" s="43"/>
      <c r="F97" s="33"/>
      <c r="G97" s="33"/>
      <c r="H97" s="33"/>
      <c r="I97" s="33"/>
      <c r="J97" s="33">
        <f t="shared" si="6"/>
        <v>12000</v>
      </c>
      <c r="K97" s="49">
        <v>2414.4</v>
      </c>
      <c r="L97" s="49">
        <f t="shared" si="7"/>
        <v>9585.6</v>
      </c>
      <c r="M97" s="53">
        <f t="shared" si="8"/>
        <v>6.5811780075304769E-4</v>
      </c>
      <c r="O97" s="58"/>
    </row>
    <row r="98" spans="1:15">
      <c r="A98" s="24"/>
      <c r="B98" s="20"/>
      <c r="C98" s="33"/>
      <c r="D98" s="43"/>
      <c r="E98" s="43"/>
      <c r="F98" s="33"/>
      <c r="G98" s="33"/>
      <c r="H98" s="33"/>
      <c r="I98" s="33"/>
      <c r="J98" s="33"/>
      <c r="K98" s="81"/>
      <c r="L98" s="49"/>
      <c r="M98" s="53"/>
      <c r="O98" s="58"/>
    </row>
    <row r="99" spans="1:15">
      <c r="A99" s="23">
        <v>3</v>
      </c>
      <c r="B99" s="23" t="s">
        <v>129</v>
      </c>
      <c r="C99" s="33"/>
      <c r="D99" s="33"/>
      <c r="E99" s="33"/>
      <c r="F99" s="33"/>
      <c r="G99" s="33"/>
      <c r="H99" s="33"/>
      <c r="I99" s="33"/>
      <c r="J99" s="33"/>
      <c r="K99" s="83"/>
      <c r="L99" s="49"/>
      <c r="M99" s="53"/>
      <c r="O99" s="58"/>
    </row>
    <row r="100" spans="1:15">
      <c r="A100" s="24">
        <v>322</v>
      </c>
      <c r="B100" s="20" t="s">
        <v>83</v>
      </c>
      <c r="C100" s="33">
        <v>18000</v>
      </c>
      <c r="D100" s="33"/>
      <c r="E100" s="33"/>
      <c r="F100" s="33"/>
      <c r="G100" s="33"/>
      <c r="H100" s="33"/>
      <c r="I100" s="33"/>
      <c r="J100" s="33">
        <f t="shared" ref="J100:J105" si="9">C100+D100-E100+F100-G100+H100-I100</f>
        <v>18000</v>
      </c>
      <c r="K100" s="49">
        <v>0</v>
      </c>
      <c r="L100" s="49">
        <f t="shared" ref="L100:L105" si="10">J100-K100</f>
        <v>18000</v>
      </c>
      <c r="M100" s="53">
        <f t="shared" ref="M100:M105" si="11">K100/$K$114</f>
        <v>0</v>
      </c>
      <c r="O100" s="58"/>
    </row>
    <row r="101" spans="1:15" hidden="1">
      <c r="A101" s="24">
        <v>323</v>
      </c>
      <c r="B101" s="20" t="s">
        <v>119</v>
      </c>
      <c r="C101" s="33">
        <v>0</v>
      </c>
      <c r="D101" s="33"/>
      <c r="E101" s="33"/>
      <c r="F101" s="33"/>
      <c r="G101" s="33"/>
      <c r="H101" s="33"/>
      <c r="I101" s="33"/>
      <c r="J101" s="33">
        <f t="shared" si="9"/>
        <v>0</v>
      </c>
      <c r="K101" s="49"/>
      <c r="L101" s="49">
        <f t="shared" si="10"/>
        <v>0</v>
      </c>
      <c r="M101" s="53">
        <f t="shared" si="11"/>
        <v>0</v>
      </c>
    </row>
    <row r="102" spans="1:15">
      <c r="A102" s="24">
        <v>324</v>
      </c>
      <c r="B102" s="20" t="s">
        <v>120</v>
      </c>
      <c r="C102" s="33">
        <v>2147922.54</v>
      </c>
      <c r="D102" s="33"/>
      <c r="E102" s="33"/>
      <c r="F102" s="33"/>
      <c r="G102" s="33"/>
      <c r="H102" s="33"/>
      <c r="I102" s="33"/>
      <c r="J102" s="33">
        <f t="shared" si="9"/>
        <v>2147922.54</v>
      </c>
      <c r="K102" s="49">
        <v>89975</v>
      </c>
      <c r="L102" s="49">
        <f t="shared" si="10"/>
        <v>2057947.54</v>
      </c>
      <c r="M102" s="53">
        <f t="shared" si="11"/>
        <v>2.4525409676422905E-2</v>
      </c>
    </row>
    <row r="103" spans="1:15">
      <c r="A103" s="24">
        <v>328</v>
      </c>
      <c r="B103" s="20" t="s">
        <v>84</v>
      </c>
      <c r="C103" s="33">
        <v>7500</v>
      </c>
      <c r="D103" s="33"/>
      <c r="E103" s="33"/>
      <c r="F103" s="33"/>
      <c r="G103" s="33"/>
      <c r="H103" s="33"/>
      <c r="I103" s="33"/>
      <c r="J103" s="33">
        <f t="shared" si="9"/>
        <v>7500</v>
      </c>
      <c r="K103" s="49">
        <v>0</v>
      </c>
      <c r="L103" s="49">
        <f t="shared" si="10"/>
        <v>7500</v>
      </c>
      <c r="M103" s="53">
        <f t="shared" si="11"/>
        <v>0</v>
      </c>
    </row>
    <row r="104" spans="1:15">
      <c r="A104" s="24">
        <v>329</v>
      </c>
      <c r="B104" s="20" t="s">
        <v>85</v>
      </c>
      <c r="C104" s="33">
        <v>10500</v>
      </c>
      <c r="D104" s="33"/>
      <c r="E104" s="33"/>
      <c r="F104" s="33"/>
      <c r="G104" s="33"/>
      <c r="H104" s="33"/>
      <c r="I104" s="33"/>
      <c r="J104" s="33">
        <f t="shared" si="9"/>
        <v>10500</v>
      </c>
      <c r="K104" s="49">
        <v>3496</v>
      </c>
      <c r="L104" s="49">
        <f t="shared" si="10"/>
        <v>7004</v>
      </c>
      <c r="M104" s="53">
        <f t="shared" si="11"/>
        <v>9.5294061938065548E-4</v>
      </c>
    </row>
    <row r="105" spans="1:15">
      <c r="A105" s="24">
        <v>332</v>
      </c>
      <c r="B105" s="20" t="s">
        <v>140</v>
      </c>
      <c r="C105" s="33">
        <v>2388358.86</v>
      </c>
      <c r="D105" s="33"/>
      <c r="E105" s="33"/>
      <c r="F105" s="33"/>
      <c r="G105" s="33"/>
      <c r="H105" s="33"/>
      <c r="I105" s="33"/>
      <c r="J105" s="33">
        <f t="shared" si="9"/>
        <v>2388358.86</v>
      </c>
      <c r="K105" s="49">
        <v>0</v>
      </c>
      <c r="L105" s="49">
        <f t="shared" si="10"/>
        <v>2388358.86</v>
      </c>
      <c r="M105" s="53">
        <f t="shared" si="11"/>
        <v>0</v>
      </c>
    </row>
    <row r="106" spans="1:15">
      <c r="A106" s="24"/>
      <c r="B106" s="20"/>
      <c r="C106" s="33"/>
      <c r="D106" s="33"/>
      <c r="E106" s="33"/>
      <c r="F106" s="33"/>
      <c r="G106" s="33"/>
      <c r="H106" s="33"/>
      <c r="I106" s="33"/>
      <c r="J106" s="33"/>
      <c r="K106" s="81"/>
      <c r="L106" s="49"/>
      <c r="M106" s="53"/>
      <c r="O106" s="12"/>
    </row>
    <row r="107" spans="1:15">
      <c r="A107" s="23">
        <v>4</v>
      </c>
      <c r="B107" s="23" t="s">
        <v>12</v>
      </c>
      <c r="C107" s="33"/>
      <c r="D107" s="33"/>
      <c r="E107" s="33"/>
      <c r="F107" s="33"/>
      <c r="G107" s="33"/>
      <c r="H107" s="33"/>
      <c r="I107" s="33"/>
      <c r="J107" s="33"/>
      <c r="K107" s="81"/>
      <c r="L107" s="49"/>
      <c r="M107" s="53"/>
      <c r="O107" s="12"/>
    </row>
    <row r="108" spans="1:15">
      <c r="A108" s="25">
        <v>413</v>
      </c>
      <c r="B108" s="26" t="s">
        <v>72</v>
      </c>
      <c r="C108" s="33">
        <v>20750</v>
      </c>
      <c r="D108" s="33"/>
      <c r="E108" s="33"/>
      <c r="F108" s="33"/>
      <c r="G108" s="33"/>
      <c r="H108" s="33"/>
      <c r="I108" s="33"/>
      <c r="J108" s="33">
        <f t="shared" ref="J108:J112" si="12">C108+D108-E108+F108-G108+H108-I108</f>
        <v>20750</v>
      </c>
      <c r="K108" s="49">
        <v>0</v>
      </c>
      <c r="L108" s="49">
        <f t="shared" ref="L108:L112" si="13">J108-K108</f>
        <v>20750</v>
      </c>
      <c r="M108" s="53">
        <f>K108/$K$114</f>
        <v>0</v>
      </c>
      <c r="O108" s="12"/>
    </row>
    <row r="109" spans="1:15">
      <c r="A109" s="25">
        <v>415</v>
      </c>
      <c r="B109" s="26" t="s">
        <v>73</v>
      </c>
      <c r="C109" s="33">
        <v>7600</v>
      </c>
      <c r="D109" s="33"/>
      <c r="E109" s="33"/>
      <c r="F109" s="33"/>
      <c r="G109" s="33"/>
      <c r="H109" s="33"/>
      <c r="I109" s="33"/>
      <c r="J109" s="33">
        <f t="shared" si="12"/>
        <v>7600</v>
      </c>
      <c r="K109" s="49">
        <v>0</v>
      </c>
      <c r="L109" s="49">
        <f t="shared" si="13"/>
        <v>7600</v>
      </c>
      <c r="M109" s="53">
        <f>K109/$K$114</f>
        <v>0</v>
      </c>
      <c r="O109" s="12"/>
    </row>
    <row r="110" spans="1:15">
      <c r="A110" s="25">
        <v>419</v>
      </c>
      <c r="B110" s="26" t="s">
        <v>74</v>
      </c>
      <c r="C110" s="33">
        <v>19200</v>
      </c>
      <c r="D110" s="33"/>
      <c r="E110" s="33"/>
      <c r="F110" s="33"/>
      <c r="G110" s="33"/>
      <c r="H110" s="33"/>
      <c r="I110" s="33"/>
      <c r="J110" s="33">
        <f t="shared" si="12"/>
        <v>19200</v>
      </c>
      <c r="K110" s="49">
        <v>10200</v>
      </c>
      <c r="L110" s="49">
        <f t="shared" si="13"/>
        <v>9000</v>
      </c>
      <c r="M110" s="53">
        <f>K110/$K$114</f>
        <v>2.780318740755917E-3</v>
      </c>
      <c r="O110" s="12"/>
    </row>
    <row r="111" spans="1:15">
      <c r="A111" s="25">
        <v>453</v>
      </c>
      <c r="B111" s="26" t="s">
        <v>75</v>
      </c>
      <c r="C111" s="33">
        <v>255000</v>
      </c>
      <c r="D111" s="33"/>
      <c r="E111" s="33"/>
      <c r="F111" s="33"/>
      <c r="G111" s="33">
        <v>50000</v>
      </c>
      <c r="H111" s="33"/>
      <c r="I111" s="33"/>
      <c r="J111" s="33">
        <f t="shared" si="12"/>
        <v>205000</v>
      </c>
      <c r="K111" s="49">
        <v>129195.56</v>
      </c>
      <c r="L111" s="49">
        <f t="shared" si="13"/>
        <v>75804.44</v>
      </c>
      <c r="M111" s="53">
        <f>K111/$K$114</f>
        <v>3.5216160459848579E-2</v>
      </c>
      <c r="O111" s="12"/>
    </row>
    <row r="112" spans="1:15">
      <c r="A112" s="25">
        <v>472</v>
      </c>
      <c r="B112" s="26" t="s">
        <v>105</v>
      </c>
      <c r="C112" s="33">
        <v>8200</v>
      </c>
      <c r="D112" s="33">
        <v>12000</v>
      </c>
      <c r="E112" s="33"/>
      <c r="F112" s="33"/>
      <c r="G112" s="33"/>
      <c r="H112" s="33"/>
      <c r="I112" s="33"/>
      <c r="J112" s="33">
        <f t="shared" si="12"/>
        <v>20200</v>
      </c>
      <c r="K112" s="49">
        <v>4628.7699999999995</v>
      </c>
      <c r="L112" s="49">
        <f t="shared" si="13"/>
        <v>15571.23</v>
      </c>
      <c r="M112" s="53">
        <f>K112/$K$114</f>
        <v>1.2617113703577221E-3</v>
      </c>
      <c r="O112" s="12"/>
    </row>
    <row r="113" spans="1:15" ht="20.25" customHeight="1" thickBot="1">
      <c r="A113" s="22"/>
      <c r="B113" s="64"/>
      <c r="C113" s="18"/>
      <c r="D113" s="33"/>
      <c r="E113" s="33"/>
      <c r="F113" s="44"/>
      <c r="G113" s="44"/>
      <c r="H113" s="44"/>
      <c r="I113" s="44"/>
      <c r="J113" s="18"/>
      <c r="K113" s="84"/>
      <c r="L113" s="50"/>
      <c r="M113" s="53"/>
      <c r="O113" s="12"/>
    </row>
    <row r="114" spans="1:15" ht="20.25" customHeight="1" thickBot="1">
      <c r="A114" s="65"/>
      <c r="B114" s="8" t="s">
        <v>7</v>
      </c>
      <c r="C114" s="94">
        <f>SUM(C21:C113)</f>
        <v>10577202.25</v>
      </c>
      <c r="D114" s="94">
        <f>SUM(D21:D113)</f>
        <v>280000</v>
      </c>
      <c r="E114" s="94">
        <f>SUM(E21:E113)</f>
        <v>280000</v>
      </c>
      <c r="F114" s="94">
        <f t="shared" ref="F114:I114" si="14">SUM(F21:F113)</f>
        <v>287200</v>
      </c>
      <c r="G114" s="94">
        <f t="shared" si="14"/>
        <v>287200</v>
      </c>
      <c r="H114" s="94">
        <f t="shared" si="14"/>
        <v>0</v>
      </c>
      <c r="I114" s="94">
        <f t="shared" si="14"/>
        <v>0</v>
      </c>
      <c r="J114" s="97">
        <f>ROUND((SUM(J21:J113)),2)</f>
        <v>10577202.25</v>
      </c>
      <c r="K114" s="97">
        <f>ROUND((SUM(K21:K113)),2)</f>
        <v>3668644.12</v>
      </c>
      <c r="L114" s="97">
        <f>ROUND((SUM(L21:L113)),2)</f>
        <v>6908558.1299999999</v>
      </c>
      <c r="M114" s="98">
        <f>K114/K114</f>
        <v>1</v>
      </c>
      <c r="O114" s="12"/>
    </row>
    <row r="115" spans="1:15" ht="20.25" customHeight="1">
      <c r="A115" s="66"/>
      <c r="B115" s="13"/>
      <c r="C115" s="14"/>
      <c r="D115" s="14"/>
      <c r="E115" s="14"/>
      <c r="F115" s="14"/>
      <c r="G115" s="27"/>
      <c r="H115" s="27"/>
      <c r="I115" s="14"/>
      <c r="J115" s="14"/>
      <c r="K115" s="85"/>
      <c r="L115" s="14"/>
      <c r="M115" s="15"/>
      <c r="O115" s="12"/>
    </row>
    <row r="116" spans="1:15" ht="20.25" customHeight="1" thickBot="1">
      <c r="A116" s="66"/>
      <c r="B116" s="13"/>
      <c r="C116" s="14"/>
      <c r="D116" s="14"/>
      <c r="E116" s="14"/>
      <c r="F116" s="14"/>
      <c r="G116" s="14"/>
      <c r="H116" s="14"/>
      <c r="I116" s="14"/>
      <c r="J116" s="14"/>
      <c r="K116" s="85"/>
      <c r="L116" s="14"/>
      <c r="M116" s="15"/>
      <c r="O116" s="12"/>
    </row>
    <row r="117" spans="1:15" s="12" customFormat="1">
      <c r="A117" s="99" t="s">
        <v>8</v>
      </c>
      <c r="B117" s="34"/>
      <c r="C117" s="109"/>
      <c r="D117" s="9"/>
      <c r="E117" s="9"/>
      <c r="F117" s="41"/>
      <c r="G117" s="41"/>
      <c r="H117" s="41"/>
      <c r="I117" s="41"/>
      <c r="J117" s="16"/>
      <c r="K117" s="86"/>
      <c r="L117" s="10"/>
      <c r="M117" s="11"/>
    </row>
    <row r="118" spans="1:15" s="12" customFormat="1" ht="18" customHeight="1">
      <c r="A118" s="111" t="s">
        <v>0</v>
      </c>
      <c r="B118" s="37"/>
      <c r="C118" s="110"/>
      <c r="D118" s="9"/>
      <c r="E118" s="9"/>
      <c r="F118" s="41"/>
      <c r="G118" s="41"/>
      <c r="H118" s="41"/>
      <c r="I118" s="41"/>
      <c r="J118" s="16"/>
      <c r="K118" s="86"/>
      <c r="L118" s="10"/>
      <c r="M118" s="11"/>
    </row>
    <row r="119" spans="1:15" s="12" customFormat="1" ht="8.1" customHeight="1" thickBot="1">
      <c r="A119" s="102"/>
      <c r="B119" s="103"/>
      <c r="C119" s="104"/>
      <c r="D119" s="9"/>
      <c r="E119" s="9"/>
      <c r="F119" s="41"/>
      <c r="G119" s="41"/>
      <c r="H119" s="41"/>
      <c r="I119" s="41"/>
      <c r="J119" s="16"/>
      <c r="K119" s="86"/>
      <c r="L119" s="10"/>
      <c r="M119" s="11"/>
      <c r="O119" s="3"/>
    </row>
    <row r="120" spans="1:15" s="12" customFormat="1" ht="8.1" customHeight="1">
      <c r="A120" s="100"/>
      <c r="B120" s="37"/>
      <c r="C120" s="101"/>
      <c r="D120" s="9"/>
      <c r="E120" s="9"/>
      <c r="F120" s="41"/>
      <c r="G120" s="41"/>
      <c r="H120" s="41"/>
      <c r="I120" s="41"/>
      <c r="J120" s="16"/>
      <c r="K120" s="86"/>
      <c r="L120" s="10"/>
      <c r="M120" s="11"/>
    </row>
    <row r="121" spans="1:15" s="12" customFormat="1">
      <c r="A121" s="105" t="s">
        <v>108</v>
      </c>
      <c r="B121" s="35"/>
      <c r="C121" s="101"/>
      <c r="D121" s="9"/>
      <c r="E121" s="9"/>
      <c r="F121" s="41"/>
      <c r="G121" s="41"/>
      <c r="H121" s="41"/>
      <c r="I121" s="41"/>
      <c r="J121" s="16"/>
      <c r="K121" s="86"/>
      <c r="L121" s="137"/>
      <c r="M121" s="138"/>
    </row>
    <row r="122" spans="1:15" s="12" customFormat="1">
      <c r="A122" s="106" t="s">
        <v>136</v>
      </c>
      <c r="B122" s="36"/>
      <c r="C122" s="142">
        <v>656637.59</v>
      </c>
      <c r="D122" s="9"/>
      <c r="E122" s="9"/>
      <c r="F122" s="41"/>
      <c r="G122" s="41"/>
      <c r="H122" s="41"/>
      <c r="I122" s="41"/>
      <c r="J122" s="16"/>
      <c r="K122" s="86"/>
      <c r="L122" s="137"/>
      <c r="M122" s="138"/>
    </row>
    <row r="123" spans="1:15" s="12" customFormat="1">
      <c r="A123" s="106" t="s">
        <v>76</v>
      </c>
      <c r="B123" s="36"/>
      <c r="C123" s="142">
        <f>K18</f>
        <v>3448951.76</v>
      </c>
      <c r="D123" s="9"/>
      <c r="E123" s="9"/>
      <c r="F123" s="41"/>
      <c r="G123" s="41"/>
      <c r="H123" s="41"/>
      <c r="I123" s="41"/>
      <c r="J123" s="16"/>
      <c r="K123" s="86"/>
      <c r="L123" s="137"/>
      <c r="M123" s="138"/>
    </row>
    <row r="124" spans="1:15" s="12" customFormat="1">
      <c r="A124" s="106" t="s">
        <v>87</v>
      </c>
      <c r="B124" s="36"/>
      <c r="C124" s="124">
        <f>-K114</f>
        <v>-3668644.12</v>
      </c>
      <c r="D124" s="9"/>
      <c r="E124" s="9"/>
      <c r="F124" s="41"/>
      <c r="G124" s="41"/>
      <c r="H124" s="41"/>
      <c r="I124" s="41"/>
      <c r="J124" s="16"/>
      <c r="K124" s="86"/>
      <c r="L124" s="137"/>
      <c r="M124" s="138"/>
    </row>
    <row r="125" spans="1:15" s="12" customFormat="1" ht="18" customHeight="1">
      <c r="A125" s="107" t="s">
        <v>107</v>
      </c>
      <c r="B125" s="36"/>
      <c r="C125" s="143">
        <f>SUM(C122:C124)</f>
        <v>436945.22999999952</v>
      </c>
      <c r="D125" s="68"/>
      <c r="E125" s="9"/>
      <c r="F125" s="41"/>
      <c r="G125" s="41"/>
      <c r="H125" s="41"/>
      <c r="I125" s="41"/>
      <c r="J125" s="16"/>
      <c r="K125" s="86"/>
      <c r="L125" s="137"/>
      <c r="M125" s="138"/>
    </row>
    <row r="126" spans="1:15" s="130" customFormat="1">
      <c r="A126" s="125" t="s">
        <v>170</v>
      </c>
      <c r="B126" s="35"/>
      <c r="C126" s="144"/>
      <c r="D126" s="126"/>
      <c r="E126" s="9"/>
      <c r="F126" s="41"/>
      <c r="G126" s="41"/>
      <c r="H126" s="41"/>
      <c r="I126" s="41"/>
      <c r="J126" s="16"/>
      <c r="K126" s="86"/>
      <c r="L126" s="139"/>
      <c r="M126" s="136"/>
    </row>
    <row r="127" spans="1:15" s="130" customFormat="1">
      <c r="A127" s="131" t="s">
        <v>178</v>
      </c>
      <c r="B127" s="35"/>
      <c r="C127" s="142">
        <v>2864.26</v>
      </c>
      <c r="D127" s="126"/>
      <c r="E127" s="9"/>
      <c r="F127" s="41"/>
      <c r="G127" s="41"/>
      <c r="H127" s="41"/>
      <c r="I127" s="41"/>
      <c r="J127" s="16"/>
      <c r="K127" s="86"/>
      <c r="L127" s="139"/>
      <c r="M127" s="136"/>
    </row>
    <row r="128" spans="1:15" s="130" customFormat="1">
      <c r="A128" s="131" t="s">
        <v>179</v>
      </c>
      <c r="B128" s="36"/>
      <c r="C128" s="142">
        <v>219.61</v>
      </c>
      <c r="D128" s="126"/>
      <c r="E128" s="9"/>
      <c r="F128" s="41"/>
      <c r="G128" s="41"/>
      <c r="H128" s="41"/>
      <c r="I128" s="41"/>
      <c r="J128" s="16"/>
      <c r="K128" s="86"/>
      <c r="L128" s="139"/>
      <c r="M128" s="136"/>
    </row>
    <row r="129" spans="1:13" s="130" customFormat="1">
      <c r="A129" s="131" t="s">
        <v>173</v>
      </c>
      <c r="B129" s="36"/>
      <c r="C129" s="142">
        <v>4592.72</v>
      </c>
      <c r="D129" s="126"/>
      <c r="E129" s="126"/>
      <c r="F129" s="132"/>
      <c r="G129" s="48"/>
      <c r="H129" s="127"/>
      <c r="I129" s="141"/>
      <c r="J129" s="141"/>
      <c r="K129" s="141"/>
      <c r="L129" s="129"/>
    </row>
    <row r="130" spans="1:13" s="12" customFormat="1" ht="6.95" customHeight="1">
      <c r="A130" s="131"/>
      <c r="B130" s="36"/>
      <c r="C130" s="124"/>
      <c r="D130" s="9"/>
      <c r="E130" s="40"/>
      <c r="F130" s="132"/>
      <c r="G130" s="48"/>
      <c r="H130" s="41"/>
      <c r="I130" s="140"/>
      <c r="J130" s="140"/>
      <c r="K130" s="140"/>
      <c r="L130" s="11"/>
    </row>
    <row r="131" spans="1:13" s="130" customFormat="1">
      <c r="A131" s="131"/>
      <c r="B131" s="36"/>
      <c r="C131" s="143">
        <f>SUM(C127:C130)</f>
        <v>7676.59</v>
      </c>
      <c r="D131" s="126"/>
      <c r="E131" s="126"/>
      <c r="F131" s="132"/>
      <c r="G131" s="48"/>
      <c r="H131" s="127"/>
      <c r="I131" s="141"/>
      <c r="J131" s="141"/>
      <c r="K131" s="141"/>
      <c r="L131" s="129"/>
    </row>
    <row r="132" spans="1:13" s="130" customFormat="1" ht="6.95" customHeight="1">
      <c r="A132" s="131"/>
      <c r="B132" s="36"/>
      <c r="C132" s="145"/>
      <c r="D132" s="126"/>
      <c r="E132" s="126"/>
      <c r="F132" s="41"/>
      <c r="G132" s="41"/>
      <c r="H132" s="127"/>
      <c r="I132" s="141"/>
      <c r="J132" s="141"/>
      <c r="K132" s="141"/>
      <c r="L132" s="129"/>
    </row>
    <row r="133" spans="1:13" s="130" customFormat="1" ht="6.95" customHeight="1">
      <c r="A133" s="131"/>
      <c r="B133" s="36"/>
      <c r="C133" s="146"/>
      <c r="D133" s="126"/>
      <c r="E133" s="126"/>
      <c r="F133" s="41"/>
      <c r="G133" s="41"/>
      <c r="H133" s="127"/>
      <c r="I133" s="141"/>
      <c r="J133" s="141"/>
      <c r="K133" s="141"/>
      <c r="L133" s="129"/>
    </row>
    <row r="134" spans="1:13" s="130" customFormat="1" ht="18.75" thickBot="1">
      <c r="A134" s="133" t="s">
        <v>176</v>
      </c>
      <c r="B134" s="39"/>
      <c r="C134" s="147">
        <f>C125+C131</f>
        <v>444621.81999999954</v>
      </c>
      <c r="D134" s="134"/>
      <c r="F134" s="41"/>
      <c r="G134" s="41"/>
      <c r="H134" s="127"/>
      <c r="I134" s="128"/>
      <c r="J134" s="9"/>
      <c r="K134" s="10"/>
      <c r="L134" s="129"/>
    </row>
    <row r="135" spans="1:13" s="130" customFormat="1" ht="6.95" customHeight="1" thickTop="1" thickBot="1">
      <c r="A135" s="135"/>
      <c r="B135" s="38"/>
      <c r="C135" s="148"/>
      <c r="D135" s="134"/>
      <c r="F135" s="41"/>
      <c r="G135" s="41"/>
      <c r="H135" s="127"/>
      <c r="I135" s="128"/>
      <c r="J135" s="9"/>
      <c r="K135" s="10"/>
      <c r="L135" s="129"/>
    </row>
    <row r="136" spans="1:13">
      <c r="A136" s="17"/>
      <c r="C136" s="123"/>
      <c r="D136" s="69"/>
      <c r="G136" s="45"/>
      <c r="H136" s="45"/>
      <c r="I136" s="45"/>
      <c r="J136" s="45"/>
      <c r="L136" s="45"/>
      <c r="M136" s="45"/>
    </row>
    <row r="137" spans="1:13">
      <c r="A137" s="17"/>
      <c r="B137" s="17"/>
      <c r="C137" s="123"/>
      <c r="D137" s="69"/>
      <c r="G137" s="45"/>
      <c r="H137" s="45"/>
      <c r="I137" s="45"/>
      <c r="J137" s="45"/>
      <c r="L137" s="45"/>
      <c r="M137" s="45"/>
    </row>
    <row r="138" spans="1:13">
      <c r="A138" s="13"/>
      <c r="B138" s="70" t="s">
        <v>177</v>
      </c>
      <c r="C138" s="123"/>
      <c r="D138" s="69"/>
      <c r="E138" s="40"/>
      <c r="G138" s="45"/>
      <c r="H138" s="45"/>
      <c r="J138" s="45"/>
      <c r="L138" s="45"/>
      <c r="M138" s="45"/>
    </row>
    <row r="139" spans="1:13">
      <c r="A139" s="13"/>
      <c r="B139" s="17"/>
      <c r="C139" s="45"/>
      <c r="D139" s="69"/>
      <c r="E139" s="45"/>
      <c r="F139" s="45"/>
      <c r="G139" s="45"/>
      <c r="H139" s="45"/>
      <c r="I139" s="45"/>
      <c r="J139" s="45"/>
      <c r="L139" s="45"/>
      <c r="M139" s="45"/>
    </row>
    <row r="140" spans="1:13">
      <c r="A140" s="13"/>
      <c r="B140" s="17"/>
      <c r="C140" s="45"/>
      <c r="D140" s="69"/>
      <c r="E140" s="45"/>
      <c r="F140" s="45"/>
      <c r="G140" s="45"/>
      <c r="H140" s="45"/>
      <c r="I140" s="45"/>
      <c r="J140" s="45"/>
      <c r="L140" s="45"/>
      <c r="M140" s="45"/>
    </row>
    <row r="141" spans="1:13">
      <c r="A141" s="13"/>
      <c r="B141" s="17"/>
      <c r="C141" s="45"/>
      <c r="D141" s="69"/>
      <c r="E141" s="45"/>
      <c r="F141" s="45"/>
      <c r="G141" s="45"/>
      <c r="H141" s="45"/>
      <c r="I141" s="45"/>
      <c r="J141" s="45"/>
      <c r="L141" s="45"/>
      <c r="M141" s="45"/>
    </row>
    <row r="142" spans="1:13">
      <c r="A142" s="13"/>
      <c r="B142" s="17"/>
      <c r="C142" s="45"/>
      <c r="E142" s="45"/>
      <c r="F142" s="45"/>
      <c r="G142" s="45"/>
      <c r="H142" s="45"/>
      <c r="I142" s="45"/>
      <c r="J142" s="45"/>
      <c r="L142" s="45"/>
      <c r="M142" s="45"/>
    </row>
    <row r="143" spans="1:13">
      <c r="A143" s="66"/>
      <c r="B143" s="17"/>
      <c r="C143" s="45"/>
      <c r="D143" s="16"/>
      <c r="E143" s="40"/>
      <c r="F143" s="40"/>
      <c r="G143" s="45"/>
      <c r="H143" s="45"/>
      <c r="I143" s="45"/>
      <c r="J143" s="45"/>
      <c r="L143" s="45"/>
      <c r="M143" s="45"/>
    </row>
    <row r="144" spans="1:13">
      <c r="A144" s="66"/>
      <c r="B144" s="45"/>
      <c r="C144" s="45"/>
      <c r="D144" s="45"/>
      <c r="E144" s="40"/>
      <c r="F144" s="40"/>
      <c r="G144" s="45"/>
      <c r="H144" s="45"/>
      <c r="I144" s="45"/>
      <c r="J144" s="45"/>
      <c r="L144" s="45"/>
      <c r="M144" s="45"/>
    </row>
    <row r="145" spans="1:13" ht="18.75">
      <c r="A145" s="66"/>
      <c r="B145" s="46" t="s">
        <v>124</v>
      </c>
      <c r="D145" s="112" t="s">
        <v>138</v>
      </c>
      <c r="E145" s="46"/>
      <c r="F145" s="46"/>
      <c r="I145" s="113" t="s">
        <v>127</v>
      </c>
      <c r="K145" s="88"/>
      <c r="L145" s="51"/>
      <c r="M145" s="46"/>
    </row>
    <row r="146" spans="1:13" s="115" customFormat="1" ht="15.75">
      <c r="A146" s="114"/>
      <c r="B146" s="56" t="s">
        <v>125</v>
      </c>
      <c r="D146" s="116" t="s">
        <v>126</v>
      </c>
      <c r="E146" s="56"/>
      <c r="F146" s="56"/>
      <c r="I146" s="117" t="s">
        <v>123</v>
      </c>
      <c r="K146" s="118"/>
      <c r="L146" s="56"/>
      <c r="M146" s="56"/>
    </row>
    <row r="147" spans="1:13" ht="18.75">
      <c r="A147" s="66"/>
      <c r="B147" s="47"/>
      <c r="C147" s="71"/>
      <c r="D147" s="51"/>
      <c r="E147" s="47"/>
      <c r="F147" s="47"/>
      <c r="G147" s="47"/>
      <c r="H147" s="47"/>
      <c r="I147" s="51"/>
      <c r="J147" s="71"/>
      <c r="K147" s="88"/>
      <c r="L147" s="47"/>
      <c r="M147" s="47"/>
    </row>
    <row r="148" spans="1:13" ht="18.75">
      <c r="A148" s="66"/>
      <c r="B148" s="47"/>
      <c r="C148" s="47"/>
      <c r="D148" s="47"/>
      <c r="F148" s="47"/>
      <c r="G148" s="47"/>
      <c r="H148" s="47"/>
      <c r="I148" s="112"/>
      <c r="J148" s="47"/>
      <c r="K148" s="88"/>
      <c r="M148" s="47"/>
    </row>
  </sheetData>
  <mergeCells count="3">
    <mergeCell ref="A6:A7"/>
    <mergeCell ref="B6:B7"/>
    <mergeCell ref="K6:K7"/>
  </mergeCells>
  <printOptions horizontalCentered="1"/>
  <pageMargins left="0" right="0" top="0.78740157480314965" bottom="0.86614173228346458" header="0.31496062992125984" footer="0.31496062992125984"/>
  <pageSetup scale="5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Company>confede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jgiron</dc:creator>
  <cp:lastModifiedBy>Vivi</cp:lastModifiedBy>
  <cp:lastPrinted>2017-01-16T16:59:23Z</cp:lastPrinted>
  <dcterms:created xsi:type="dcterms:W3CDTF">2006-09-12T14:17:56Z</dcterms:created>
  <dcterms:modified xsi:type="dcterms:W3CDTF">2017-03-01T17:33:15Z</dcterms:modified>
</cp:coreProperties>
</file>